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форма 2п new" sheetId="3" r:id="rId1"/>
  </sheets>
  <definedNames>
    <definedName name="_xlnm.Print_Titles" localSheetId="0">'форма 2п new'!$6:$8</definedName>
    <definedName name="_xlnm.Print_Area" localSheetId="0">'форма 2п new'!$B$1:$U$180</definedName>
    <definedName name="Регионы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5" i="3" l="1"/>
  <c r="T135" i="3"/>
  <c r="S135" i="3"/>
  <c r="R135" i="3"/>
  <c r="Q135" i="3"/>
  <c r="P135" i="3"/>
  <c r="O135" i="3"/>
  <c r="M135" i="3"/>
  <c r="O176" i="3" l="1"/>
  <c r="M176" i="3"/>
  <c r="O143" i="3"/>
  <c r="M143" i="3"/>
  <c r="M133" i="3"/>
  <c r="M153" i="3" s="1"/>
  <c r="O134" i="3"/>
  <c r="O133" i="3" s="1"/>
  <c r="M134" i="3"/>
  <c r="O153" i="3" l="1"/>
  <c r="U170" i="3"/>
  <c r="O23" i="3"/>
  <c r="M23" i="3"/>
  <c r="O117" i="3" l="1"/>
  <c r="O127" i="3"/>
  <c r="U171" i="3" l="1"/>
  <c r="T171" i="3"/>
  <c r="S171" i="3"/>
  <c r="R171" i="3"/>
  <c r="Q171" i="3"/>
  <c r="P171" i="3"/>
  <c r="O19" i="3" l="1"/>
  <c r="O17" i="3"/>
  <c r="O20" i="3" l="1"/>
  <c r="O13" i="3"/>
  <c r="O12" i="3"/>
  <c r="M13" i="3"/>
  <c r="M12" i="3"/>
  <c r="O174" i="3"/>
  <c r="O170" i="3"/>
  <c r="U99" i="3" l="1"/>
  <c r="T99" i="3"/>
  <c r="S99" i="3"/>
  <c r="R99" i="3"/>
  <c r="Q99" i="3"/>
  <c r="P99" i="3"/>
  <c r="O99" i="3" l="1"/>
  <c r="S109" i="3" l="1"/>
  <c r="U109" i="3"/>
  <c r="Q109" i="3"/>
  <c r="O107" i="3"/>
  <c r="U106" i="3"/>
  <c r="S106" i="3"/>
  <c r="Q106" i="3"/>
  <c r="U94" i="3"/>
  <c r="S94" i="3"/>
  <c r="Q94" i="3"/>
  <c r="T88" i="3" l="1"/>
  <c r="S88" i="3"/>
  <c r="R88" i="3"/>
  <c r="Q88" i="3"/>
  <c r="P88" i="3"/>
  <c r="U85" i="3"/>
  <c r="T85" i="3"/>
  <c r="R85" i="3"/>
  <c r="S85" i="3"/>
  <c r="Q85" i="3"/>
  <c r="P85" i="3"/>
  <c r="O85" i="3"/>
  <c r="O88" i="3"/>
  <c r="U88" i="3" l="1"/>
  <c r="U82" i="3" l="1"/>
  <c r="S82" i="3"/>
  <c r="Q82" i="3"/>
  <c r="U48" i="3"/>
  <c r="S48" i="3"/>
  <c r="Q48" i="3"/>
  <c r="O29" i="3"/>
  <c r="M29" i="3"/>
  <c r="M45" i="3" l="1"/>
  <c r="O45" i="3"/>
  <c r="O25" i="3" s="1"/>
  <c r="P115" i="3" l="1"/>
  <c r="R115" i="3" s="1"/>
  <c r="T115" i="3" s="1"/>
  <c r="O115" i="3"/>
  <c r="Q115" i="3" s="1"/>
  <c r="S115" i="3" s="1"/>
  <c r="U115" i="3" s="1"/>
  <c r="O110" i="3"/>
  <c r="M107" i="3"/>
  <c r="O100" i="3"/>
  <c r="Q100" i="3"/>
  <c r="M100" i="3"/>
  <c r="O95" i="3"/>
  <c r="O87" i="3"/>
  <c r="O84" i="3"/>
  <c r="O81" i="3"/>
  <c r="O47" i="3"/>
  <c r="O37" i="3"/>
  <c r="O28" i="3"/>
  <c r="M174" i="3"/>
  <c r="P174" i="3"/>
  <c r="Q180" i="3"/>
  <c r="P180" i="3"/>
  <c r="O180" i="3"/>
  <c r="M180" i="3"/>
  <c r="U179" i="3"/>
  <c r="T179" i="3"/>
  <c r="S179" i="3"/>
  <c r="R179" i="3"/>
  <c r="Q179" i="3"/>
  <c r="P179" i="3"/>
  <c r="O179" i="3"/>
  <c r="U173" i="3"/>
  <c r="T173" i="3"/>
  <c r="S173" i="3"/>
  <c r="R173" i="3"/>
  <c r="Q173" i="3"/>
  <c r="P173" i="3"/>
  <c r="M173" i="3"/>
  <c r="O173" i="3"/>
  <c r="U172" i="3"/>
  <c r="T172" i="3"/>
  <c r="S172" i="3"/>
  <c r="R172" i="3"/>
  <c r="Q172" i="3"/>
  <c r="P172" i="3"/>
  <c r="O172" i="3"/>
  <c r="M170" i="3"/>
  <c r="U114" i="3" l="1"/>
  <c r="T114" i="3"/>
  <c r="S114" i="3"/>
  <c r="R114" i="3"/>
  <c r="Q114" i="3"/>
  <c r="P114" i="3"/>
  <c r="T17" i="3"/>
  <c r="Q13" i="3"/>
  <c r="P12" i="3" l="1"/>
  <c r="P170" i="3"/>
  <c r="P143" i="3"/>
  <c r="L135" i="3"/>
  <c r="M127" i="3" l="1"/>
  <c r="M117" i="3" s="1"/>
  <c r="O118" i="3" s="1"/>
  <c r="Q84" i="3" l="1"/>
  <c r="Q87" i="3"/>
  <c r="P84" i="3" l="1"/>
  <c r="P87" i="3"/>
  <c r="S81" i="3" l="1"/>
  <c r="Q81" i="3"/>
  <c r="Q47" i="3"/>
  <c r="P47" i="3"/>
  <c r="R81" i="3" l="1"/>
  <c r="P81" i="3"/>
  <c r="L134" i="3"/>
  <c r="L133" i="3" s="1"/>
  <c r="L143" i="3"/>
  <c r="P134" i="3"/>
  <c r="P133" i="3" s="1"/>
  <c r="P153" i="3" s="1"/>
  <c r="Q134" i="3"/>
  <c r="Q133" i="3" s="1"/>
  <c r="R134" i="3"/>
  <c r="R133" i="3" s="1"/>
  <c r="S134" i="3"/>
  <c r="S133" i="3" s="1"/>
  <c r="T134" i="3"/>
  <c r="T133" i="3" s="1"/>
  <c r="Q143" i="3"/>
  <c r="R143" i="3"/>
  <c r="S143" i="3"/>
  <c r="T143" i="3"/>
  <c r="S153" i="3" l="1"/>
  <c r="R153" i="3"/>
  <c r="T153" i="3"/>
  <c r="Q153" i="3"/>
  <c r="Q110" i="3" l="1"/>
  <c r="P107" i="3"/>
  <c r="P110" i="3" l="1"/>
  <c r="U110" i="3"/>
  <c r="S110" i="3"/>
  <c r="T107" i="3"/>
  <c r="R107" i="3"/>
  <c r="Q107" i="3"/>
  <c r="M19" i="3"/>
  <c r="M17" i="3"/>
  <c r="U23" i="3"/>
  <c r="T23" i="3"/>
  <c r="S23" i="3"/>
  <c r="R23" i="3"/>
  <c r="Q23" i="3"/>
  <c r="P23" i="3"/>
  <c r="M37" i="3"/>
  <c r="T110" i="3" l="1"/>
  <c r="R110" i="3"/>
  <c r="U107" i="3"/>
  <c r="S107" i="3"/>
  <c r="M20" i="3"/>
  <c r="U180" i="3"/>
  <c r="T180" i="3"/>
  <c r="S180" i="3"/>
  <c r="R180" i="3"/>
  <c r="M110" i="3"/>
  <c r="P100" i="3" l="1"/>
  <c r="M87" i="3"/>
  <c r="M84" i="3"/>
  <c r="M81" i="3"/>
  <c r="L63" i="3"/>
  <c r="M47" i="3"/>
  <c r="Q45" i="3"/>
  <c r="Q44" i="3" s="1"/>
  <c r="O44" i="3"/>
  <c r="L45" i="3"/>
  <c r="L29" i="3"/>
  <c r="M28" i="3" s="1"/>
  <c r="M44" i="3" l="1"/>
  <c r="M25" i="3"/>
  <c r="O27" i="3" l="1"/>
  <c r="L172" i="3"/>
  <c r="L170" i="3"/>
  <c r="L176" i="3" s="1"/>
  <c r="M95" i="3"/>
  <c r="L95" i="3"/>
  <c r="P95" i="3"/>
  <c r="Q95" i="3"/>
  <c r="R95" i="3" l="1"/>
  <c r="P127" i="3"/>
  <c r="P117" i="3" s="1"/>
  <c r="L127" i="3"/>
  <c r="L117" i="3" s="1"/>
  <c r="M118" i="3" s="1"/>
  <c r="P118" i="3" l="1"/>
  <c r="S95" i="3"/>
  <c r="L19" i="3"/>
  <c r="L17" i="3"/>
  <c r="T95" i="3" l="1"/>
  <c r="U13" i="3"/>
  <c r="T13" i="3"/>
  <c r="U12" i="3"/>
  <c r="T12" i="3"/>
  <c r="S13" i="3"/>
  <c r="S12" i="3"/>
  <c r="R13" i="3"/>
  <c r="P13" i="3"/>
  <c r="R12" i="3"/>
  <c r="Q12" i="3"/>
  <c r="U95" i="3" l="1"/>
  <c r="Q127" i="3" l="1"/>
  <c r="Q117" i="3" s="1"/>
  <c r="Q118" i="3" l="1"/>
  <c r="U134" i="3"/>
  <c r="U133" i="3" s="1"/>
  <c r="Q174" i="3" l="1"/>
  <c r="K172" i="3"/>
  <c r="L173" i="3" s="1"/>
  <c r="L180" i="3"/>
  <c r="P176" i="3"/>
  <c r="Q170" i="3"/>
  <c r="Q176" i="3" s="1"/>
  <c r="R170" i="3"/>
  <c r="R176" i="3" s="1"/>
  <c r="S170" i="3"/>
  <c r="S176" i="3" s="1"/>
  <c r="T170" i="3"/>
  <c r="T176" i="3" s="1"/>
  <c r="U176" i="3"/>
  <c r="U143" i="3"/>
  <c r="U153" i="3" s="1"/>
  <c r="E134" i="3"/>
  <c r="E133" i="3" s="1"/>
  <c r="E153" i="3" s="1"/>
  <c r="F134" i="3"/>
  <c r="F133" i="3" s="1"/>
  <c r="G135" i="3"/>
  <c r="H135" i="3"/>
  <c r="H134" i="3" s="1"/>
  <c r="H133" i="3" s="1"/>
  <c r="I135" i="3"/>
  <c r="I134" i="3" s="1"/>
  <c r="I133" i="3" s="1"/>
  <c r="I153" i="3" s="1"/>
  <c r="J135" i="3"/>
  <c r="J134" i="3" s="1"/>
  <c r="J133" i="3" s="1"/>
  <c r="J153" i="3" s="1"/>
  <c r="G141" i="3"/>
  <c r="F143" i="3"/>
  <c r="H143" i="3"/>
  <c r="R174" i="3" l="1"/>
  <c r="T174" i="3"/>
  <c r="L153" i="3"/>
  <c r="L174" i="3"/>
  <c r="F153" i="3"/>
  <c r="H153" i="3"/>
  <c r="G134" i="3"/>
  <c r="G133" i="3" s="1"/>
  <c r="G153" i="3" s="1"/>
  <c r="L110" i="3" l="1"/>
  <c r="L100" i="3" l="1"/>
  <c r="U100" i="3" l="1"/>
  <c r="S100" i="3"/>
  <c r="T100" i="3"/>
  <c r="R100" i="3"/>
  <c r="K95" i="3"/>
  <c r="K87" i="3"/>
  <c r="K45" i="3"/>
  <c r="L47" i="3"/>
  <c r="K47" i="3"/>
  <c r="L44" i="3" l="1"/>
  <c r="L81" i="3"/>
  <c r="L87" i="3"/>
  <c r="L84" i="3"/>
  <c r="L37" i="3" l="1"/>
  <c r="L115" i="3"/>
  <c r="L25" i="3" l="1"/>
  <c r="M27" i="3" s="1"/>
  <c r="R29" i="3" l="1"/>
  <c r="K19" i="3"/>
  <c r="K17" i="3"/>
  <c r="L23" i="3"/>
  <c r="K23" i="3"/>
  <c r="K20" i="3" l="1"/>
  <c r="L20" i="3"/>
  <c r="K127" i="3"/>
  <c r="K110" i="3" l="1"/>
  <c r="K106" i="3"/>
  <c r="K107" i="3" l="1"/>
  <c r="Q163" i="3"/>
  <c r="S163" i="3" s="1"/>
  <c r="U163" i="3" s="1"/>
  <c r="P163" i="3"/>
  <c r="R163" i="3" s="1"/>
  <c r="T163" i="3" s="1"/>
  <c r="K117" i="3"/>
  <c r="L118" i="3" s="1"/>
  <c r="K170" i="3"/>
  <c r="K176" i="3" s="1"/>
  <c r="T81" i="3" l="1"/>
  <c r="L107" i="3"/>
  <c r="K81" i="3" l="1"/>
  <c r="K63" i="3"/>
  <c r="K84" i="3" l="1"/>
  <c r="R47" i="3" l="1"/>
  <c r="K29" i="3" l="1"/>
  <c r="K37" i="3"/>
  <c r="K25" i="3" l="1"/>
  <c r="L27" i="3" s="1"/>
  <c r="L28" i="3"/>
  <c r="K115" i="3"/>
  <c r="K100" i="3"/>
  <c r="J162" i="3" l="1"/>
  <c r="J160" i="3" l="1"/>
  <c r="K162" i="3"/>
  <c r="K157" i="3"/>
  <c r="K156" i="3"/>
  <c r="K160" i="3" l="1"/>
  <c r="P162" i="3"/>
  <c r="P160" i="3" s="1"/>
  <c r="Q162" i="3"/>
  <c r="Q160" i="3" s="1"/>
  <c r="K155" i="3"/>
  <c r="K154" i="3" s="1"/>
  <c r="I99" i="3"/>
  <c r="J127" i="3" l="1"/>
  <c r="J117" i="3" s="1"/>
  <c r="K118" i="3" s="1"/>
  <c r="I128" i="3"/>
  <c r="I130" i="3"/>
  <c r="I129" i="3"/>
  <c r="I162" i="3" l="1"/>
  <c r="J157" i="3" l="1"/>
  <c r="J170" i="3"/>
  <c r="J179" i="3"/>
  <c r="J156" i="3"/>
  <c r="J155" i="3" s="1"/>
  <c r="J154" i="3" s="1"/>
  <c r="J23" i="3"/>
  <c r="J19" i="3"/>
  <c r="J17" i="3"/>
  <c r="J172" i="3" l="1"/>
  <c r="K180" i="3"/>
  <c r="J20" i="3"/>
  <c r="J176" i="3"/>
  <c r="K173" i="3" l="1"/>
  <c r="K174" i="3"/>
  <c r="R87" i="3"/>
  <c r="S87" i="3"/>
  <c r="R84" i="3"/>
  <c r="T84" i="3" l="1"/>
  <c r="T87" i="3"/>
  <c r="J81" i="3"/>
  <c r="Q63" i="3"/>
  <c r="P63" i="3"/>
  <c r="J45" i="3"/>
  <c r="K44" i="3" s="1"/>
  <c r="I48" i="3"/>
  <c r="J29" i="3"/>
  <c r="K28" i="3" s="1"/>
  <c r="J37" i="3"/>
  <c r="I29" i="3"/>
  <c r="J110" i="3"/>
  <c r="J87" i="3"/>
  <c r="J84" i="3"/>
  <c r="J63" i="3"/>
  <c r="J95" i="3"/>
  <c r="T127" i="3"/>
  <c r="T117" i="3" s="1"/>
  <c r="S127" i="3"/>
  <c r="S117" i="3" s="1"/>
  <c r="S118" i="3" s="1"/>
  <c r="U127" i="3"/>
  <c r="U117" i="3" s="1"/>
  <c r="H48" i="3"/>
  <c r="H45" i="3" s="1"/>
  <c r="U118" i="3" l="1"/>
  <c r="J25" i="3"/>
  <c r="K27" i="3" s="1"/>
  <c r="J47" i="3"/>
  <c r="J28" i="3"/>
  <c r="R127" i="3"/>
  <c r="R117" i="3" s="1"/>
  <c r="R118" i="3" s="1"/>
  <c r="T118" i="3" l="1"/>
  <c r="H29" i="3"/>
  <c r="I179" i="3"/>
  <c r="J180" i="3" s="1"/>
  <c r="I157" i="3"/>
  <c r="R156" i="3"/>
  <c r="H179" i="3"/>
  <c r="H172" i="3" s="1"/>
  <c r="G179" i="3"/>
  <c r="F179" i="3"/>
  <c r="E179" i="3"/>
  <c r="E172" i="3" s="1"/>
  <c r="H170" i="3"/>
  <c r="G170" i="3"/>
  <c r="G176" i="3" s="1"/>
  <c r="F170" i="3"/>
  <c r="F176" i="3" s="1"/>
  <c r="E170" i="3"/>
  <c r="E176" i="3" s="1"/>
  <c r="G180" i="3" l="1"/>
  <c r="I172" i="3"/>
  <c r="J173" i="3" s="1"/>
  <c r="F180" i="3"/>
  <c r="H176" i="3"/>
  <c r="F172" i="3"/>
  <c r="F174" i="3" s="1"/>
  <c r="H180" i="3"/>
  <c r="G172" i="3"/>
  <c r="H174" i="3" s="1"/>
  <c r="I173" i="3" l="1"/>
  <c r="I174" i="3"/>
  <c r="J174" i="3"/>
  <c r="H173" i="3"/>
  <c r="F173" i="3"/>
  <c r="G173" i="3"/>
  <c r="G174" i="3"/>
  <c r="H160" i="3"/>
  <c r="I160" i="3" s="1"/>
  <c r="P156" i="3"/>
  <c r="P157" i="3"/>
  <c r="H156" i="3"/>
  <c r="H155" i="3" s="1"/>
  <c r="H157" i="3"/>
  <c r="F156" i="3"/>
  <c r="G156" i="3"/>
  <c r="E156" i="3"/>
  <c r="F157" i="3"/>
  <c r="E157" i="3"/>
  <c r="G157" i="3"/>
  <c r="E158" i="3"/>
  <c r="F158" i="3" s="1"/>
  <c r="G158" i="3" s="1"/>
  <c r="H158" i="3" s="1"/>
  <c r="R155" i="3"/>
  <c r="R154" i="3" s="1"/>
  <c r="I156" i="3"/>
  <c r="Q156" i="3"/>
  <c r="S156" i="3"/>
  <c r="T156" i="3"/>
  <c r="Q157" i="3"/>
  <c r="R157" i="3"/>
  <c r="S157" i="3"/>
  <c r="T157" i="3"/>
  <c r="R162" i="3"/>
  <c r="S162" i="3"/>
  <c r="U156" i="3"/>
  <c r="U157" i="3"/>
  <c r="V157" i="3"/>
  <c r="W157" i="3"/>
  <c r="T162" i="3" l="1"/>
  <c r="T160" i="3" s="1"/>
  <c r="R160" i="3"/>
  <c r="U162" i="3"/>
  <c r="U160" i="3" s="1"/>
  <c r="S160" i="3"/>
  <c r="P155" i="3"/>
  <c r="P154" i="3" s="1"/>
  <c r="E155" i="3"/>
  <c r="F155" i="3"/>
  <c r="F154" i="3" s="1"/>
  <c r="G155" i="3"/>
  <c r="G154" i="3" s="1"/>
  <c r="U155" i="3"/>
  <c r="U154" i="3" s="1"/>
  <c r="T155" i="3"/>
  <c r="T154" i="3" s="1"/>
  <c r="S155" i="3"/>
  <c r="S154" i="3" s="1"/>
  <c r="Q155" i="3"/>
  <c r="Q154" i="3" s="1"/>
  <c r="I155" i="3"/>
  <c r="I154" i="3" s="1"/>
  <c r="E154" i="3"/>
  <c r="H154" i="3"/>
  <c r="I158" i="3"/>
  <c r="J158" i="3" s="1"/>
  <c r="K158" i="3" s="1"/>
  <c r="P158" i="3" l="1"/>
  <c r="Q158" i="3"/>
  <c r="S158" i="3" s="1"/>
  <c r="R158" i="3" l="1"/>
  <c r="T158" i="3" s="1"/>
  <c r="U158" i="3"/>
  <c r="V127" i="3" l="1"/>
  <c r="W127" i="3"/>
  <c r="X127" i="3"/>
  <c r="Y127" i="3"/>
  <c r="Z127" i="3"/>
  <c r="AA127" i="3"/>
  <c r="AB127" i="3"/>
  <c r="AC127" i="3"/>
  <c r="AD127" i="3"/>
  <c r="AE127" i="3"/>
  <c r="AF127" i="3"/>
  <c r="AG127" i="3"/>
  <c r="AH127" i="3"/>
  <c r="AI127" i="3"/>
  <c r="AJ127" i="3"/>
  <c r="AK127" i="3"/>
  <c r="H114" i="3" l="1"/>
  <c r="I114" i="3" s="1"/>
  <c r="J114" i="3" s="1"/>
  <c r="K114" i="3" s="1"/>
  <c r="F110" i="3"/>
  <c r="F107" i="3"/>
  <c r="J100" i="3"/>
  <c r="H99" i="3"/>
  <c r="G87" i="3"/>
  <c r="G84" i="3"/>
  <c r="H85" i="3"/>
  <c r="I63" i="3"/>
  <c r="G63" i="3"/>
  <c r="H63" i="3"/>
  <c r="I100" i="3" l="1"/>
  <c r="H84" i="3"/>
  <c r="H81" i="3"/>
  <c r="I84" i="3"/>
  <c r="I81" i="3"/>
  <c r="S84" i="3" l="1"/>
  <c r="I28" i="3" l="1"/>
  <c r="U81" i="3"/>
  <c r="U84" i="3"/>
  <c r="H47" i="3" l="1"/>
  <c r="G47" i="3"/>
  <c r="I47" i="3"/>
  <c r="I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H37" i="3"/>
  <c r="G37" i="3"/>
  <c r="P29" i="3"/>
  <c r="F84" i="3"/>
  <c r="F37" i="3"/>
  <c r="I45" i="3" l="1"/>
  <c r="J44" i="3" s="1"/>
  <c r="E29" i="3"/>
  <c r="F29" i="3"/>
  <c r="G29" i="3"/>
  <c r="E45" i="3"/>
  <c r="F45" i="3"/>
  <c r="G45" i="3"/>
  <c r="F47" i="3"/>
  <c r="F63" i="3"/>
  <c r="F81" i="3"/>
  <c r="G81" i="3"/>
  <c r="F87" i="3"/>
  <c r="H88" i="3"/>
  <c r="F25" i="3" l="1"/>
  <c r="H87" i="3"/>
  <c r="H25" i="3"/>
  <c r="F44" i="3"/>
  <c r="E115" i="3"/>
  <c r="G44" i="3"/>
  <c r="H44" i="3"/>
  <c r="F115" i="3"/>
  <c r="G25" i="3"/>
  <c r="G27" i="3" s="1"/>
  <c r="H28" i="3"/>
  <c r="F28" i="3"/>
  <c r="V37" i="3"/>
  <c r="P45" i="3"/>
  <c r="P44" i="3" s="1"/>
  <c r="I44" i="3"/>
  <c r="I25" i="3"/>
  <c r="J27" i="3" s="1"/>
  <c r="S47" i="3"/>
  <c r="E25" i="3"/>
  <c r="P62" i="3"/>
  <c r="P43" i="3"/>
  <c r="Q62" i="3"/>
  <c r="Q43" i="3"/>
  <c r="Q29" i="3"/>
  <c r="G28" i="3"/>
  <c r="T47" i="3" l="1"/>
  <c r="F27" i="3"/>
  <c r="H27" i="3"/>
  <c r="I87" i="3"/>
  <c r="T29" i="3"/>
  <c r="U47" i="3"/>
  <c r="S62" i="3"/>
  <c r="S45" i="3"/>
  <c r="S44" i="3" s="1"/>
  <c r="S29" i="3"/>
  <c r="S43" i="3"/>
  <c r="R43" i="3"/>
  <c r="Q25" i="3"/>
  <c r="Q27" i="3" s="1"/>
  <c r="R62" i="3"/>
  <c r="R45" i="3"/>
  <c r="R44" i="3" s="1"/>
  <c r="I23" i="3"/>
  <c r="H23" i="3"/>
  <c r="I17" i="3"/>
  <c r="S25" i="3" l="1"/>
  <c r="S27" i="3" s="1"/>
  <c r="P25" i="3"/>
  <c r="P27" i="3" s="1"/>
  <c r="T45" i="3"/>
  <c r="T44" i="3" s="1"/>
  <c r="T43" i="3"/>
  <c r="T62" i="3"/>
  <c r="I127" i="3"/>
  <c r="I117" i="3" s="1"/>
  <c r="J118" i="3" s="1"/>
  <c r="H130" i="3"/>
  <c r="H129" i="3"/>
  <c r="G130" i="3"/>
  <c r="G129" i="3"/>
  <c r="U87" i="3" l="1"/>
  <c r="R25" i="3"/>
  <c r="R27" i="3" s="1"/>
  <c r="H127" i="3"/>
  <c r="H117" i="3" s="1"/>
  <c r="I118" i="3" s="1"/>
  <c r="G127" i="3"/>
  <c r="G117" i="3" s="1"/>
  <c r="T25" i="3" l="1"/>
  <c r="T27" i="3" s="1"/>
  <c r="V139" i="3"/>
  <c r="V135" i="3" s="1"/>
  <c r="W139" i="3"/>
  <c r="W135" i="3" s="1"/>
  <c r="X139" i="3"/>
  <c r="X135" i="3" s="1"/>
  <c r="Y139" i="3"/>
  <c r="Y135" i="3" s="1"/>
  <c r="Z139" i="3"/>
  <c r="Z135" i="3" s="1"/>
  <c r="AA139" i="3"/>
  <c r="AA135" i="3" s="1"/>
  <c r="AB139" i="3"/>
  <c r="AB135" i="3" s="1"/>
  <c r="AC139" i="3"/>
  <c r="AC135" i="3" s="1"/>
  <c r="AD139" i="3"/>
  <c r="AD135" i="3" s="1"/>
  <c r="AE139" i="3"/>
  <c r="AE135" i="3" s="1"/>
  <c r="AF139" i="3"/>
  <c r="AF135" i="3" s="1"/>
  <c r="AG139" i="3"/>
  <c r="AG135" i="3" s="1"/>
  <c r="AH139" i="3"/>
  <c r="AH135" i="3" s="1"/>
  <c r="AI139" i="3"/>
  <c r="AI135" i="3" s="1"/>
  <c r="AJ139" i="3"/>
  <c r="AJ135" i="3" s="1"/>
  <c r="AK139" i="3"/>
  <c r="AK135" i="3" s="1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AH141" i="3"/>
  <c r="AI141" i="3"/>
  <c r="AJ141" i="3"/>
  <c r="AK141" i="3"/>
  <c r="H19" i="3"/>
  <c r="H17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I19" i="3" l="1"/>
  <c r="AJ134" i="3"/>
  <c r="AH134" i="3"/>
  <c r="AF134" i="3"/>
  <c r="AD134" i="3"/>
  <c r="AB134" i="3"/>
  <c r="Z134" i="3"/>
  <c r="X134" i="3"/>
  <c r="V134" i="3"/>
  <c r="AK134" i="3"/>
  <c r="AI134" i="3"/>
  <c r="AG134" i="3"/>
  <c r="AE134" i="3"/>
  <c r="AC134" i="3"/>
  <c r="AA134" i="3"/>
  <c r="Y134" i="3"/>
  <c r="W134" i="3"/>
  <c r="I95" i="3"/>
  <c r="I20" i="3" l="1"/>
  <c r="P19" i="3"/>
  <c r="P17" i="3"/>
  <c r="Q17" i="3"/>
  <c r="Q19" i="3"/>
  <c r="S17" i="3" l="1"/>
  <c r="S19" i="3"/>
  <c r="R19" i="3"/>
  <c r="R17" i="3"/>
  <c r="T19" i="3" l="1"/>
  <c r="U17" i="3"/>
  <c r="U19" i="3"/>
  <c r="I170" i="3" l="1"/>
  <c r="I180" i="3" l="1"/>
  <c r="I176" i="3"/>
  <c r="F129" i="3"/>
  <c r="F17" i="3" l="1"/>
  <c r="X157" i="3" l="1"/>
  <c r="Y157" i="3"/>
  <c r="Z157" i="3"/>
  <c r="AA157" i="3"/>
  <c r="AB157" i="3"/>
  <c r="AC157" i="3"/>
  <c r="AD157" i="3"/>
  <c r="AE157" i="3"/>
  <c r="AF157" i="3"/>
  <c r="AG157" i="3"/>
  <c r="AH157" i="3"/>
  <c r="AI157" i="3"/>
  <c r="AJ157" i="3"/>
  <c r="AK157" i="3"/>
  <c r="G109" i="3" l="1"/>
  <c r="G110" i="3" s="1"/>
  <c r="G106" i="3"/>
  <c r="H106" i="3" l="1"/>
  <c r="I106" i="3" s="1"/>
  <c r="G107" i="3"/>
  <c r="G115" i="3"/>
  <c r="H109" i="3"/>
  <c r="J107" i="3" l="1"/>
  <c r="J115" i="3"/>
  <c r="H107" i="3"/>
  <c r="H115" i="3"/>
  <c r="I110" i="3"/>
  <c r="H110" i="3"/>
  <c r="V88" i="3"/>
  <c r="W88" i="3" s="1"/>
  <c r="X88" i="3" s="1"/>
  <c r="Y88" i="3" s="1"/>
  <c r="Z88" i="3" s="1"/>
  <c r="AA88" i="3" s="1"/>
  <c r="AB88" i="3" s="1"/>
  <c r="AC88" i="3" s="1"/>
  <c r="AD88" i="3" s="1"/>
  <c r="AE88" i="3" s="1"/>
  <c r="AF88" i="3" s="1"/>
  <c r="AG88" i="3" s="1"/>
  <c r="AH88" i="3" s="1"/>
  <c r="AI88" i="3" s="1"/>
  <c r="AJ88" i="3" s="1"/>
  <c r="AK88" i="3" s="1"/>
  <c r="I107" i="3" l="1"/>
  <c r="I115" i="3"/>
  <c r="F99" i="3" l="1"/>
  <c r="G99" i="3"/>
  <c r="H100" i="3" s="1"/>
  <c r="U45" i="3" l="1"/>
  <c r="U44" i="3" s="1"/>
  <c r="G13" i="3"/>
  <c r="F13" i="3"/>
  <c r="G12" i="3"/>
  <c r="F12" i="3"/>
  <c r="H12" i="3" l="1"/>
  <c r="H13" i="3"/>
  <c r="H162" i="3" s="1"/>
  <c r="P97" i="3" l="1"/>
  <c r="R97" i="3"/>
  <c r="S97" i="3"/>
  <c r="T97" i="3"/>
  <c r="U97" i="3"/>
  <c r="Q97" i="3"/>
  <c r="U62" i="3" l="1"/>
  <c r="U43" i="3"/>
  <c r="U174" i="3" l="1"/>
  <c r="S174" i="3"/>
  <c r="G100" i="3" l="1"/>
  <c r="G95" i="3" l="1"/>
  <c r="H95" i="3"/>
  <c r="F95" i="3"/>
  <c r="F127" i="3"/>
  <c r="F117" i="3" s="1"/>
  <c r="H118" i="3"/>
  <c r="E127" i="3"/>
  <c r="E117" i="3" s="1"/>
  <c r="F118" i="3" l="1"/>
  <c r="G118" i="3" l="1"/>
  <c r="U29" i="3"/>
  <c r="G19" i="3" l="1"/>
  <c r="F19" i="3"/>
  <c r="G17" i="3"/>
  <c r="F20" i="3" l="1"/>
  <c r="G20" i="3"/>
  <c r="U25" i="3"/>
  <c r="U27" i="3" s="1"/>
  <c r="V12" i="3"/>
  <c r="Y14" i="3"/>
  <c r="X12" i="3"/>
  <c r="W12" i="3"/>
  <c r="B25" i="3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8" i="3" s="1"/>
  <c r="B39" i="3" s="1"/>
  <c r="B40" i="3" s="1"/>
  <c r="B41" i="3" s="1"/>
  <c r="B42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95" i="3"/>
  <c r="B96" i="3" s="1"/>
  <c r="B100" i="3" s="1"/>
  <c r="B105" i="3" s="1"/>
  <c r="B106" i="3" s="1"/>
  <c r="B107" i="3" s="1"/>
  <c r="B108" i="3" s="1"/>
  <c r="B109" i="3" s="1"/>
  <c r="B110" i="3" s="1"/>
  <c r="B111" i="3" s="1"/>
  <c r="B113" i="3" s="1"/>
  <c r="B85" i="3" l="1"/>
  <c r="B86" i="3" s="1"/>
  <c r="B88" i="3" s="1"/>
  <c r="B89" i="3" s="1"/>
  <c r="B90" i="3" s="1"/>
  <c r="B91" i="3" s="1"/>
  <c r="B92" i="3" s="1"/>
  <c r="AF20" i="3"/>
  <c r="Y20" i="3"/>
  <c r="Z20" i="3" s="1"/>
  <c r="AA20" i="3" s="1"/>
  <c r="AF23" i="3"/>
  <c r="AG23" i="3" s="1"/>
  <c r="AH23" i="3" s="1"/>
  <c r="AI23" i="3" s="1"/>
  <c r="AJ23" i="3" s="1"/>
  <c r="AK23" i="3" s="1"/>
  <c r="Y12" i="3"/>
  <c r="AA12" i="3" s="1"/>
  <c r="Y23" i="3"/>
  <c r="Z23" i="3" s="1"/>
  <c r="AA23" i="3" s="1"/>
  <c r="AB23" i="3" s="1"/>
  <c r="B114" i="3"/>
  <c r="B115" i="3" s="1"/>
  <c r="AC23" i="3" l="1"/>
  <c r="AD23" i="3" s="1"/>
  <c r="AG20" i="3"/>
  <c r="AF19" i="3"/>
  <c r="Y19" i="3"/>
  <c r="B134" i="3"/>
  <c r="B135" i="3" s="1"/>
  <c r="B136" i="3" s="1"/>
  <c r="B137" i="3" s="1"/>
  <c r="B138" i="3" s="1"/>
  <c r="B139" i="3" s="1"/>
  <c r="B141" i="3" s="1"/>
  <c r="B142" i="3" s="1"/>
  <c r="B117" i="3"/>
  <c r="B118" i="3" s="1"/>
  <c r="B119" i="3" s="1"/>
  <c r="B120" i="3" s="1"/>
  <c r="B122" i="3" s="1"/>
  <c r="B123" i="3" s="1"/>
  <c r="B124" i="3" s="1"/>
  <c r="B125" i="3" s="1"/>
  <c r="B126" i="3" s="1"/>
  <c r="B128" i="3" s="1"/>
  <c r="B129" i="3" s="1"/>
  <c r="B130" i="3" s="1"/>
  <c r="B131" i="3" s="1"/>
  <c r="B143" i="3" l="1"/>
  <c r="B144" i="3" s="1"/>
  <c r="AH20" i="3"/>
  <c r="AI20" i="3" s="1"/>
  <c r="AJ20" i="3" s="1"/>
  <c r="AK20" i="3" s="1"/>
  <c r="AG19" i="3"/>
  <c r="AG25" i="3" s="1"/>
  <c r="H20" i="3"/>
  <c r="Y25" i="3"/>
  <c r="Y27" i="3"/>
  <c r="Z19" i="3"/>
  <c r="AF25" i="3"/>
  <c r="AF27" i="3"/>
  <c r="B145" i="3" l="1"/>
  <c r="B146" i="3" s="1"/>
  <c r="B147" i="3" s="1"/>
  <c r="B148" i="3" s="1"/>
  <c r="B149" i="3" s="1"/>
  <c r="B150" i="3" s="1"/>
  <c r="AH19" i="3"/>
  <c r="AG27" i="3"/>
  <c r="AB20" i="3"/>
  <c r="AC20" i="3" s="1"/>
  <c r="AD20" i="3" s="1"/>
  <c r="AA19" i="3"/>
  <c r="Z27" i="3"/>
  <c r="Z25" i="3"/>
  <c r="AI19" i="3"/>
  <c r="B165" i="3" l="1"/>
  <c r="B166" i="3" s="1"/>
  <c r="B167" i="3" s="1"/>
  <c r="B168" i="3" s="1"/>
  <c r="B171" i="3" s="1"/>
  <c r="B172" i="3" s="1"/>
  <c r="B173" i="3" s="1"/>
  <c r="B174" i="3" s="1"/>
  <c r="B175" i="3" s="1"/>
  <c r="B176" i="3" s="1"/>
  <c r="B177" i="3" s="1"/>
  <c r="B151" i="3"/>
  <c r="AH27" i="3"/>
  <c r="AH25" i="3"/>
  <c r="P20" i="3"/>
  <c r="R20" i="3"/>
  <c r="Q20" i="3"/>
  <c r="U20" i="3"/>
  <c r="AA25" i="3"/>
  <c r="AA27" i="3"/>
  <c r="AI25" i="3"/>
  <c r="AI27" i="3"/>
  <c r="AB19" i="3"/>
  <c r="AK19" i="3"/>
  <c r="AJ19" i="3"/>
  <c r="B178" i="3" l="1"/>
  <c r="B179" i="3" s="1"/>
  <c r="B180" i="3" s="1"/>
  <c r="S20" i="3"/>
  <c r="AB25" i="3"/>
  <c r="AJ27" i="3"/>
  <c r="AJ25" i="3"/>
  <c r="AD19" i="3"/>
  <c r="AC19" i="3"/>
  <c r="AK25" i="3"/>
  <c r="AK27" i="3"/>
  <c r="AB27" i="3"/>
  <c r="T20" i="3" l="1"/>
  <c r="AD27" i="3"/>
  <c r="AD25" i="3"/>
  <c r="AC25" i="3"/>
  <c r="AC27" i="3"/>
</calcChain>
</file>

<file path=xl/sharedStrings.xml><?xml version="1.0" encoding="utf-8"?>
<sst xmlns="http://schemas.openxmlformats.org/spreadsheetml/2006/main" count="339" uniqueCount="201">
  <si>
    <t>Потребление электроэнергии</t>
  </si>
  <si>
    <t>млн.кВт.ч.</t>
  </si>
  <si>
    <t>Население</t>
  </si>
  <si>
    <t>Средние тарифы на электроэнергию, отпущенную различным категориям потребителей</t>
  </si>
  <si>
    <t>руб./тыс.кВт.ч</t>
  </si>
  <si>
    <t>за период с начала года к соотв. периоду предыдущего года, %</t>
  </si>
  <si>
    <t>Продукция сельского хозяйства</t>
  </si>
  <si>
    <t>млн. руб.</t>
  </si>
  <si>
    <t>Индекс производства продукции сельского хозяйства</t>
  </si>
  <si>
    <t xml:space="preserve">млн.руб. </t>
  </si>
  <si>
    <t>в ценах соответствующих лет; млн. руб.</t>
  </si>
  <si>
    <t>% к предыдущему году в сопоставимых ценах</t>
  </si>
  <si>
    <t>Ввод в действие жилых домов</t>
  </si>
  <si>
    <t>тыс. кв. м. в общей площади</t>
  </si>
  <si>
    <t>%</t>
  </si>
  <si>
    <t>Оборот розничной торговли</t>
  </si>
  <si>
    <t>Объем платных услуг населению</t>
  </si>
  <si>
    <t>единиц</t>
  </si>
  <si>
    <t>тыс. чел.</t>
  </si>
  <si>
    <t>Инвестиции в основной капитал</t>
  </si>
  <si>
    <t>Индекс-дефлятор</t>
  </si>
  <si>
    <t>Собственные средства</t>
  </si>
  <si>
    <t>млн. рублей</t>
  </si>
  <si>
    <t>Заемные средства других организаций</t>
  </si>
  <si>
    <t>Прочие</t>
  </si>
  <si>
    <t>млн.руб.</t>
  </si>
  <si>
    <t>Уровень зарегистрированной безработицы (на конец года)</t>
  </si>
  <si>
    <t>Численность безработных, зарегистрированных в  государственных учреждениях службы занятости населения (на конец года)</t>
  </si>
  <si>
    <t>Показатели</t>
  </si>
  <si>
    <t>Единица измерения</t>
  </si>
  <si>
    <t>отчет</t>
  </si>
  <si>
    <t>оценка</t>
  </si>
  <si>
    <t>прогноз</t>
  </si>
  <si>
    <t>% к предыдущему году</t>
  </si>
  <si>
    <t>Ожидаемая продолжительность жизни при рождении</t>
  </si>
  <si>
    <t>число лет</t>
  </si>
  <si>
    <t>Общий коэффициент рождаемости</t>
  </si>
  <si>
    <t>число родившихся на 1000 человек населения</t>
  </si>
  <si>
    <t>Общий коэффициент смертности</t>
  </si>
  <si>
    <t>число умерших на 1000 человек населения</t>
  </si>
  <si>
    <t>Коэффициент естественного прироста населения</t>
  </si>
  <si>
    <t>на 1000 человек населения</t>
  </si>
  <si>
    <t xml:space="preserve">млн. руб. </t>
  </si>
  <si>
    <t xml:space="preserve">Индекс промышленного производства </t>
  </si>
  <si>
    <t>Оборот малых и средних предприятий, включая микропредприятия</t>
  </si>
  <si>
    <t>Среднесписочная численность работников малых и средних предприятий, включая микропредприятия (без внешних совместителей)</t>
  </si>
  <si>
    <t>Среднемесячная начисленная заработная плата наемных работников в организациях, у индивидуальных предпринимателей и физических лиц (среднемесячный доход от трудовой деятельности)</t>
  </si>
  <si>
    <t>базовый</t>
  </si>
  <si>
    <t>целевой</t>
  </si>
  <si>
    <t>Строительство</t>
  </si>
  <si>
    <t>рублей</t>
  </si>
  <si>
    <t>Численность населения трудоспособного возраста</t>
  </si>
  <si>
    <t>Численность населения старше трудоспособного возраста</t>
  </si>
  <si>
    <t>Суммарный коэффициент рождаемости</t>
  </si>
  <si>
    <t>число детей на 1 женщину</t>
  </si>
  <si>
    <t>тыс. чел</t>
  </si>
  <si>
    <t>% г/г</t>
  </si>
  <si>
    <t xml:space="preserve">Объем отгруженной продукции (работ. услуг) </t>
  </si>
  <si>
    <t>Добыча угля (05)</t>
  </si>
  <si>
    <t>Добыча металлических руд (07)</t>
  </si>
  <si>
    <t>Добыча прочих полезных ископаемых (08)</t>
  </si>
  <si>
    <t>Предоставление услуг в области добычи полезных ископаемых (09)</t>
  </si>
  <si>
    <t>Обрабатывающие производства (раздел С)</t>
  </si>
  <si>
    <t>Производство пищевых продуктов (10)</t>
  </si>
  <si>
    <t>Производство напитков (11)</t>
  </si>
  <si>
    <t>Производство текстильных изделий (13)</t>
  </si>
  <si>
    <t>Производство одежды (14)</t>
  </si>
  <si>
    <t>Производство кожи и изделий из кожи (15)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</si>
  <si>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</si>
  <si>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</si>
  <si>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Деятельность полиграфическая и копирование носителей информации (18)</t>
  </si>
  <si>
    <t>Производство химических веществ и химических продуктов (20)</t>
  </si>
  <si>
    <t>Производство резиновых и пластмассовых изделий (22)</t>
  </si>
  <si>
    <t>Производство прочей неметаллической минеральной продукции (23)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</si>
  <si>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</si>
  <si>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утилизации отходов, деятельность по ликвидации загрязнений (раздел Е)</t>
  </si>
  <si>
    <t>Индекс тарифов на электроэнергию, отпущенную различным категориям потребителей</t>
  </si>
  <si>
    <t>Объем работ, выполненных по виду деятельности "Строительство"</t>
  </si>
  <si>
    <t>Индекс производства по виду деятельности "Строительство"</t>
  </si>
  <si>
    <t>Индекс-дефлятор по виду деятельности "Строительство"</t>
  </si>
  <si>
    <t>Индекс  потребительских цен на конец года</t>
  </si>
  <si>
    <t>% к декабрю предыдущего года</t>
  </si>
  <si>
    <t>Индекс  потребительских цен в среднем за год</t>
  </si>
  <si>
    <t>Темп роста оборота розничной торговли</t>
  </si>
  <si>
    <t>Темп роста объема платных услуг населению</t>
  </si>
  <si>
    <t>Количество малых и средних предприятий, включая микропредприятия (на конец года)</t>
  </si>
  <si>
    <t>Темп рост объема инвестиций в основной капитал</t>
  </si>
  <si>
    <t>Инвестиции в основной капитал по источникам финансирования</t>
  </si>
  <si>
    <t>Привлеченные средства, из них:</t>
  </si>
  <si>
    <t xml:space="preserve">     кредиты банков, в том числе:</t>
  </si>
  <si>
    <t xml:space="preserve">          кредиты иностранных банков</t>
  </si>
  <si>
    <t>Бюджетные средства, в том числе:</t>
  </si>
  <si>
    <t xml:space="preserve">     федеральный бюджет</t>
  </si>
  <si>
    <t xml:space="preserve">     бюджеты субъектов Российской Федерации</t>
  </si>
  <si>
    <t xml:space="preserve">     из местных бюджетов</t>
  </si>
  <si>
    <t>Неналоговые доходы</t>
  </si>
  <si>
    <t>руб/мес</t>
  </si>
  <si>
    <t>Численность рабочей силы</t>
  </si>
  <si>
    <t>Численность занятых в экономике</t>
  </si>
  <si>
    <t>Реальная заработная плата  работников организаций</t>
  </si>
  <si>
    <t>Общая численность безработных граждан</t>
  </si>
  <si>
    <t>Фонд заработной платы работников организаций</t>
  </si>
  <si>
    <t>Темп роста фонда заработной платы работников организаций</t>
  </si>
  <si>
    <t>Промышленное производство</t>
  </si>
  <si>
    <t>Сельское хозяйство</t>
  </si>
  <si>
    <t xml:space="preserve"> Добыча полезных ископаемых (раздел В)</t>
  </si>
  <si>
    <t>Торговля и услуги наслению</t>
  </si>
  <si>
    <t>Малое и среднее предпринимательство, включая микропредприятия</t>
  </si>
  <si>
    <t>Инвестиции</t>
  </si>
  <si>
    <t>Труд и занятость</t>
  </si>
  <si>
    <t>Производство лекарственных средств и материалов, применяемых в медицинских целях (21)</t>
  </si>
  <si>
    <t>Налоговые и неналоговые доходы, всего</t>
  </si>
  <si>
    <t>Безвозмездные поступления всего, в том числе</t>
  </si>
  <si>
    <t xml:space="preserve">     налог на доходы физических лиц</t>
  </si>
  <si>
    <t xml:space="preserve">     акцизы</t>
  </si>
  <si>
    <t xml:space="preserve">     налог на имущество физических лиц</t>
  </si>
  <si>
    <t xml:space="preserve">     земельный налог</t>
  </si>
  <si>
    <t xml:space="preserve">     общегосударственные вопросы</t>
  </si>
  <si>
    <t xml:space="preserve">     национальная безопасность и правоохранительная деятельность</t>
  </si>
  <si>
    <t xml:space="preserve">     национальная экономика</t>
  </si>
  <si>
    <t xml:space="preserve">     жилищно-коммунальное хозяйство</t>
  </si>
  <si>
    <t xml:space="preserve">     культура, кинематография</t>
  </si>
  <si>
    <t xml:space="preserve">     социальная политика</t>
  </si>
  <si>
    <t xml:space="preserve">     физическая культура и спорт</t>
  </si>
  <si>
    <t xml:space="preserve">     трудоспособного населения</t>
  </si>
  <si>
    <t xml:space="preserve">     пенсионеров</t>
  </si>
  <si>
    <t xml:space="preserve">     детей</t>
  </si>
  <si>
    <t>Прожиточный минимум в среднем на душу населения (в среднем за год), в том числе по основным социально-демографическим группам населения:</t>
  </si>
  <si>
    <t>Миграционный прирост (убыль)</t>
  </si>
  <si>
    <t>Инвестиции в основной капитал к ВРП</t>
  </si>
  <si>
    <t>Индекс-дефлятор отрузки - 05 Добыча угля</t>
  </si>
  <si>
    <t>Объем отгруженных товаров собственного производства, выполненных работ и услуг собственными силами - 05 Добыча угля</t>
  </si>
  <si>
    <t>Объем отгруженных товаров собственного производства, выполненных работ и услуг собственными силами - РАЗДЕЛ B: Добыча полезных ископаемых</t>
  </si>
  <si>
    <t>Объем отгруженных товаров собственного производства, выполненных работ и услуг собственными силами - 07 Добыча металлических руд</t>
  </si>
  <si>
    <t>Индекс-дефлятор отрузки - 07 Добыча металлических руд</t>
  </si>
  <si>
    <t>Объем отгруженных товаров собственного производства, выполненных работ и услуг собственными силами - 08 Добыча прочих полезных ископаемых</t>
  </si>
  <si>
    <t>Индекс-дефлятор отрузки - 08 Добыча прочих полезных ископаемых</t>
  </si>
  <si>
    <t>Объем отгруженных товаров собственного производства, выполненных работ и услуг собственными силами - 09 Предоставление услуг в области добычи полезных ископаемых</t>
  </si>
  <si>
    <t>Индекс-дефлятор отрузки - 09 Предоставление услуг в области добычи полезных ископаемых</t>
  </si>
  <si>
    <t>Объем отгруженных товаров собственного производства, выполненных работ и услуг собственными силами - РАЗДЕЛ C: Обрабатывающие производства</t>
  </si>
  <si>
    <t>Индекс-дефлятор отрузки - РАЗДЕЛ C: Обрабатывающие производства</t>
  </si>
  <si>
    <t>Объем отгруженных товаров собственного производства, выполненных работ и услуг собственными силами - 10 Производство пищевых продуктов</t>
  </si>
  <si>
    <t>Индекс-дефлятор отрузки - 10 Производство пищевых продуктов</t>
  </si>
  <si>
    <t>Объем отгруженных товаров собственного производства, выполненных работ и услуг собственными силами - 11 Производство напитков</t>
  </si>
  <si>
    <t>Индекс-дефлятор отрузки - 11 Производство напитков</t>
  </si>
  <si>
    <t>Объем отгруженных товаров собственного производства, выполненных работ и услуг собственными силами - 13 Производство текстильных изделий</t>
  </si>
  <si>
    <t>Индекс-дефлятор отрузки - 13 Производство текстильных изделий</t>
  </si>
  <si>
    <t>Объем отгруженных товаров собственного производства, выполненных работ и услуг собственными силами - 14 Производство одежды</t>
  </si>
  <si>
    <t>Индекс-дефлятор отрузки - 14 Производство одежды</t>
  </si>
  <si>
    <t>Объем отгруженных товаров собственного производства, выполненных работ и услуг собственными силами - 15 Производство кожи и изделий из кожи</t>
  </si>
  <si>
    <t>Индекс-дефлятор отрузки - 15 Производство кожи и изделий из кожи</t>
  </si>
  <si>
    <t>Объем отгруженных товаров собственного производства, выполненных работ и услуг собственными силами - 16 Обработка древесины и производство изделий из дерева и пробки, кроме мебели, производство изделий из соломки и материалов для плетения</t>
  </si>
  <si>
    <t>Индекс-дефлятор отрузки - 16 Обработка древесины и производство изделий из дерева и пробки, кроме мебели, производство изделий из соломки и материалов для плетения</t>
  </si>
  <si>
    <t xml:space="preserve">Объем отгруженных товаров собственного производства, выполненных работ и услуг собственными силами - 17 Производство бумаги и бумажных изделий </t>
  </si>
  <si>
    <t xml:space="preserve">Индекс-дефлятор отрузки - 17 Производство бумаги и бумажных изделий </t>
  </si>
  <si>
    <t>Объем отгруженных товаров собственного производства, выполненных работ и услуг собственными силами - 18 Деятельность полиграфическая и копирование носителей информации</t>
  </si>
  <si>
    <t>Индекс-дефлятор отрузки - 18 Деятельность полиграфическая и копирование носителей информации</t>
  </si>
  <si>
    <t>Объем отгруженных товаров собственного производства, выполненных работ и услуг собственными силами - 20 Производство химических веществ и химических продуктов</t>
  </si>
  <si>
    <t>Индекс-дефлятор отрузки - 20 Производство химических веществ и химических продуктов</t>
  </si>
  <si>
    <t>Объем отгруженных товаров собственного производства, выполненных работ и услуг собственными силами - 21 Производство лекарственных средств и материалов, применяемых в медицинских целях</t>
  </si>
  <si>
    <t>Индекс-дефлятор отрузки - 21 Производство лекарственных средств и материалов, применяемых в медицинских целях</t>
  </si>
  <si>
    <t>Объем отгруженных товаров собственного производства, выполненных работ и услуг собственными силами - 22 Производство резиновых и пластмассовых изделий</t>
  </si>
  <si>
    <t>Индекс-дефлятор отрузки - 22 Производство резиновых и пластмассовых изделий</t>
  </si>
  <si>
    <t>Объем отгруженных товаров собственного производства, выполненных работ и услуг собственными силами - 23 Производство прочей неметаллической минеральной продукции</t>
  </si>
  <si>
    <t>Индекс-дефлятор отрузки - 23 Производство прочей неметаллической минеральной продукции</t>
  </si>
  <si>
    <t xml:space="preserve">Объем отгруженных товаров собственного производства, выполненных работ и услуг собственными силами - РАЗДЕЛ D: Обеспечение электрической энергией, газом и паром; кондиционирование воздуха </t>
  </si>
  <si>
    <t>Индекс-дефлятор отгрузки - РАЗДЕЛ D: Обеспечение электрической энергией, газом и паром; кондиционирование воздуха</t>
  </si>
  <si>
    <t>Объем отгруженных товаров собственного производства, выполненных работ и услуг собственными силами - РАЗДЕЛ E: Водоснабжение; водоотведение, организация сбора и утилизации отходов, деятельность по ликвидации загрязнений</t>
  </si>
  <si>
    <t>Индекс-дефлятор отгрузки - РАЗДЕЛ E: Водоснабжение; водоотведение, организация сбора и утилизации отходов, деятельность по ликвидации загрязнений</t>
  </si>
  <si>
    <t>Индекс-дефлятор - РАЗДЕЛ B: Добыча полезных ископаемых</t>
  </si>
  <si>
    <t>б</t>
  </si>
  <si>
    <t>ц</t>
  </si>
  <si>
    <t>Число родившихся</t>
  </si>
  <si>
    <t>Число умерших</t>
  </si>
  <si>
    <t xml:space="preserve">     межбюджетные трансферты общего характера бюджетам субъектов Российской Федерации и муниципальных образований</t>
  </si>
  <si>
    <t>Среднесписочная численность работников организаций (без внешних совместителей)</t>
  </si>
  <si>
    <t>в том числе:</t>
  </si>
  <si>
    <t>доходы от предпринимательской деятельности</t>
  </si>
  <si>
    <t>оплата труда</t>
  </si>
  <si>
    <t>другие доходы (включая "скрытые", от продажи валюты, денежные переводы и пр.)</t>
  </si>
  <si>
    <t>доходы от собственности</t>
  </si>
  <si>
    <t>социальные выплаты</t>
  </si>
  <si>
    <t>пенсии</t>
  </si>
  <si>
    <t>пособия и социальная помощь</t>
  </si>
  <si>
    <t>стипендии</t>
  </si>
  <si>
    <t>чел.</t>
  </si>
  <si>
    <t xml:space="preserve">фонд </t>
  </si>
  <si>
    <t>Бюджет муниципального образования городского поселения</t>
  </si>
  <si>
    <t xml:space="preserve">Доходы  бюджета  </t>
  </si>
  <si>
    <t>Налоговые доходы  бюджета  всего, в том числе:</t>
  </si>
  <si>
    <t>Дефицит(-),профицит(+) бюджета, млн. рублей</t>
  </si>
  <si>
    <t>Число прибывших</t>
  </si>
  <si>
    <t>Число выбывших</t>
  </si>
  <si>
    <t>Расходы  бюджета,   всего</t>
  </si>
  <si>
    <t xml:space="preserve">отчет </t>
  </si>
  <si>
    <t>Индекс-дефлятор по виду деятельности "Сельское хзозяйство"</t>
  </si>
  <si>
    <t>условно утвержденные расходы</t>
  </si>
  <si>
    <t>ЕСХН</t>
  </si>
  <si>
    <t>Численность населения  (на 1 января года)</t>
  </si>
  <si>
    <t>Показатели прогноза социально-экономического развития муниципального образования городское поселение "Поселок Заиграево" на 2026 год и плановый период до 2028 года</t>
  </si>
  <si>
    <t>Приложение №2 к постановлению администрации                                                                                                                               муниципального образования «Заиграевский район»                                                                                                                           от  30.10..2025 г. № 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</si>
</sst>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,##0.0"/>
    <numFmt numFmtId="167" formatCode="0.000"/>
    <numFmt numFmtId="168" formatCode="_-* #,##0.000_р_._-;\-* #,##0.000_р_._-;_-* &quot;-&quot;??_р_._-;_-@_-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FF0000"/>
      <name val="Arial Cyr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8"/>
      <name val="Arial Cyr"/>
      <charset val="204"/>
    </font>
    <font>
      <sz val="22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20"/>
      <name val="Arial Cyr"/>
      <charset val="204"/>
    </font>
    <font>
      <b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8" fillId="0" borderId="0"/>
    <xf numFmtId="0" fontId="7" fillId="0" borderId="0"/>
    <xf numFmtId="164" fontId="2" fillId="0" borderId="0" applyFont="0" applyFill="0" applyBorder="0" applyAlignment="0" applyProtection="0"/>
    <xf numFmtId="0" fontId="1" fillId="0" borderId="0"/>
  </cellStyleXfs>
  <cellXfs count="160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Continuous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/>
    <xf numFmtId="165" fontId="0" fillId="0" borderId="0" xfId="0" applyNumberFormat="1" applyFill="1"/>
    <xf numFmtId="165" fontId="11" fillId="2" borderId="1" xfId="4" applyNumberFormat="1" applyFont="1" applyFill="1" applyBorder="1" applyAlignment="1" applyProtection="1">
      <alignment horizontal="center" vertical="center" wrapText="1" shrinkToFit="1"/>
    </xf>
    <xf numFmtId="165" fontId="11" fillId="0" borderId="1" xfId="4" applyNumberFormat="1" applyFont="1" applyFill="1" applyBorder="1" applyAlignment="1" applyProtection="1">
      <alignment horizontal="center" vertical="center" wrapText="1" shrinkToFit="1"/>
    </xf>
    <xf numFmtId="165" fontId="5" fillId="0" borderId="1" xfId="0" applyNumberFormat="1" applyFont="1" applyFill="1" applyBorder="1" applyAlignment="1">
      <alignment horizontal="center" vertical="center"/>
    </xf>
    <xf numFmtId="165" fontId="13" fillId="0" borderId="0" xfId="0" applyNumberFormat="1" applyFont="1" applyFill="1"/>
    <xf numFmtId="0" fontId="3" fillId="0" borderId="4" xfId="0" applyFont="1" applyFill="1" applyBorder="1" applyAlignment="1" applyProtection="1">
      <alignment horizontal="center" vertical="center" wrapText="1"/>
    </xf>
    <xf numFmtId="165" fontId="11" fillId="0" borderId="0" xfId="4" applyNumberFormat="1" applyFont="1" applyFill="1" applyBorder="1" applyAlignment="1" applyProtection="1">
      <alignment horizontal="center" vertical="center" wrapText="1" shrinkToFit="1"/>
    </xf>
    <xf numFmtId="2" fontId="5" fillId="0" borderId="1" xfId="0" applyNumberFormat="1" applyFont="1" applyFill="1" applyBorder="1" applyAlignment="1" applyProtection="1">
      <alignment horizontal="center" vertical="center" wrapText="1"/>
    </xf>
    <xf numFmtId="165" fontId="19" fillId="3" borderId="1" xfId="0" applyNumberFormat="1" applyFont="1" applyFill="1" applyBorder="1" applyAlignment="1" applyProtection="1">
      <alignment horizontal="center" vertical="center" wrapText="1"/>
    </xf>
    <xf numFmtId="165" fontId="20" fillId="0" borderId="0" xfId="0" applyNumberFormat="1" applyFont="1" applyFill="1"/>
    <xf numFmtId="2" fontId="20" fillId="0" borderId="0" xfId="0" applyNumberFormat="1" applyFont="1" applyFill="1"/>
    <xf numFmtId="0" fontId="5" fillId="4" borderId="1" xfId="0" applyFont="1" applyFill="1" applyBorder="1" applyAlignment="1">
      <alignment horizontal="center" vertical="center"/>
    </xf>
    <xf numFmtId="165" fontId="23" fillId="4" borderId="1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0" fillId="4" borderId="0" xfId="0" applyFill="1"/>
    <xf numFmtId="165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 applyProtection="1">
      <alignment horizontal="center" vertical="center" wrapText="1"/>
      <protection locked="0"/>
    </xf>
    <xf numFmtId="165" fontId="22" fillId="4" borderId="1" xfId="0" applyNumberFormat="1" applyFont="1" applyFill="1" applyBorder="1" applyAlignment="1" applyProtection="1">
      <alignment horizontal="center" vertical="center" wrapText="1"/>
    </xf>
    <xf numFmtId="166" fontId="11" fillId="4" borderId="1" xfId="0" applyNumberFormat="1" applyFont="1" applyFill="1" applyBorder="1" applyAlignment="1" applyProtection="1">
      <alignment horizontal="center" vertical="center" wrapText="1"/>
    </xf>
    <xf numFmtId="168" fontId="11" fillId="4" borderId="1" xfId="4" applyNumberFormat="1" applyFont="1" applyFill="1" applyBorder="1" applyAlignment="1" applyProtection="1">
      <alignment horizontal="center" vertical="center" wrapText="1"/>
    </xf>
    <xf numFmtId="166" fontId="11" fillId="4" borderId="0" xfId="0" applyNumberFormat="1" applyFont="1" applyFill="1" applyBorder="1" applyAlignment="1" applyProtection="1">
      <alignment horizontal="center" vertical="center" wrapText="1"/>
    </xf>
    <xf numFmtId="3" fontId="11" fillId="4" borderId="0" xfId="0" applyNumberFormat="1" applyFont="1" applyFill="1" applyBorder="1" applyAlignment="1" applyProtection="1">
      <alignment horizontal="center" vertical="center" wrapText="1"/>
    </xf>
    <xf numFmtId="165" fontId="23" fillId="4" borderId="0" xfId="0" applyNumberFormat="1" applyFont="1" applyFill="1" applyBorder="1" applyAlignment="1">
      <alignment horizontal="center" vertical="center"/>
    </xf>
    <xf numFmtId="165" fontId="20" fillId="4" borderId="0" xfId="0" applyNumberFormat="1" applyFont="1" applyFill="1"/>
    <xf numFmtId="0" fontId="14" fillId="4" borderId="0" xfId="0" applyFont="1" applyFill="1"/>
    <xf numFmtId="0" fontId="15" fillId="4" borderId="0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167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 applyProtection="1">
      <alignment horizontal="center" vertical="center" wrapText="1"/>
    </xf>
    <xf numFmtId="165" fontId="5" fillId="0" borderId="1" xfId="4" applyNumberFormat="1" applyFont="1" applyFill="1" applyBorder="1" applyAlignment="1" applyProtection="1">
      <alignment horizontal="center" vertical="center" wrapText="1" shrinkToFit="1"/>
    </xf>
    <xf numFmtId="165" fontId="5" fillId="2" borderId="1" xfId="4" applyNumberFormat="1" applyFont="1" applyFill="1" applyBorder="1" applyAlignment="1" applyProtection="1">
      <alignment horizontal="center" vertical="center" wrapText="1" shrinkToFit="1"/>
    </xf>
    <xf numFmtId="165" fontId="0" fillId="0" borderId="0" xfId="0" applyNumberFormat="1" applyFill="1" applyBorder="1"/>
    <xf numFmtId="0" fontId="0" fillId="5" borderId="0" xfId="0" applyFill="1"/>
    <xf numFmtId="165" fontId="20" fillId="5" borderId="0" xfId="0" applyNumberFormat="1" applyFont="1" applyFill="1"/>
    <xf numFmtId="165" fontId="22" fillId="0" borderId="0" xfId="4" applyNumberFormat="1" applyFont="1" applyFill="1" applyBorder="1" applyAlignment="1" applyProtection="1">
      <alignment horizontal="center" vertical="center" wrapText="1" shrinkToFit="1"/>
    </xf>
    <xf numFmtId="0" fontId="3" fillId="0" borderId="3" xfId="0" applyFont="1" applyFill="1" applyBorder="1" applyAlignment="1" applyProtection="1">
      <alignment horizontal="center" vertical="center" wrapText="1"/>
    </xf>
    <xf numFmtId="165" fontId="5" fillId="6" borderId="1" xfId="4" applyNumberFormat="1" applyFont="1" applyFill="1" applyBorder="1" applyAlignment="1" applyProtection="1">
      <alignment horizontal="center" vertical="center" wrapText="1" shrinkToFit="1"/>
    </xf>
    <xf numFmtId="0" fontId="5" fillId="2" borderId="1" xfId="0" applyFont="1" applyFill="1" applyBorder="1" applyAlignment="1" applyProtection="1">
      <alignment horizontal="center" vertical="center" wrapText="1" shrinkToFit="1"/>
    </xf>
    <xf numFmtId="0" fontId="0" fillId="7" borderId="0" xfId="0" applyFill="1"/>
    <xf numFmtId="0" fontId="5" fillId="2" borderId="1" xfId="0" applyFont="1" applyFill="1" applyBorder="1" applyAlignment="1" applyProtection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165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2" borderId="1" xfId="4" applyNumberFormat="1" applyFont="1" applyFill="1" applyBorder="1" applyAlignment="1" applyProtection="1">
      <alignment horizontal="center" vertical="center" wrapText="1" shrinkToFit="1"/>
    </xf>
    <xf numFmtId="165" fontId="11" fillId="2" borderId="1" xfId="4" applyNumberFormat="1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 shrinkToFit="1"/>
    </xf>
    <xf numFmtId="1" fontId="11" fillId="2" borderId="1" xfId="0" applyNumberFormat="1" applyFont="1" applyFill="1" applyBorder="1" applyAlignment="1" applyProtection="1">
      <alignment horizontal="center" vertical="center" wrapText="1"/>
    </xf>
    <xf numFmtId="1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11" fillId="2" borderId="1" xfId="0" applyNumberFormat="1" applyFont="1" applyFill="1" applyBorder="1" applyAlignment="1" applyProtection="1">
      <alignment horizontal="center" vertical="center" wrapText="1" shrinkToFit="1"/>
    </xf>
    <xf numFmtId="0" fontId="16" fillId="2" borderId="1" xfId="0" applyFont="1" applyFill="1" applyBorder="1" applyAlignment="1" applyProtection="1">
      <alignment horizontal="left" vertical="center" wrapText="1" shrinkToFit="1"/>
    </xf>
    <xf numFmtId="0" fontId="17" fillId="2" borderId="1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left" vertical="center" wrapText="1" shrinkToFit="1"/>
    </xf>
    <xf numFmtId="1" fontId="5" fillId="2" borderId="1" xfId="0" applyNumberFormat="1" applyFont="1" applyFill="1" applyBorder="1" applyAlignment="1" applyProtection="1">
      <alignment horizontal="center" vertical="center" wrapText="1" shrinkToFit="1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/>
    </xf>
    <xf numFmtId="0" fontId="11" fillId="2" borderId="1" xfId="4" applyNumberFormat="1" applyFont="1" applyFill="1" applyBorder="1" applyAlignment="1" applyProtection="1">
      <alignment horizontal="center" vertical="center" wrapText="1" shrinkToFit="1"/>
    </xf>
    <xf numFmtId="0" fontId="6" fillId="2" borderId="1" xfId="0" applyFont="1" applyFill="1" applyBorder="1" applyAlignment="1" applyProtection="1">
      <alignment horizontal="left" vertical="center" wrapText="1" shrinkToFit="1"/>
    </xf>
    <xf numFmtId="0" fontId="5" fillId="2" borderId="1" xfId="4" applyNumberFormat="1" applyFont="1" applyFill="1" applyBorder="1" applyAlignment="1" applyProtection="1">
      <alignment horizontal="center" vertical="center" wrapText="1" shrinkToFit="1"/>
    </xf>
    <xf numFmtId="0" fontId="5" fillId="2" borderId="1" xfId="0" applyFont="1" applyFill="1" applyBorder="1"/>
    <xf numFmtId="165" fontId="5" fillId="2" borderId="1" xfId="4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</xf>
    <xf numFmtId="165" fontId="11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 shrinkToFit="1"/>
    </xf>
    <xf numFmtId="165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165" fontId="5" fillId="2" borderId="0" xfId="0" applyNumberFormat="1" applyFont="1" applyFill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8" fillId="2" borderId="1" xfId="0" applyFont="1" applyFill="1" applyBorder="1" applyAlignment="1" applyProtection="1">
      <alignment horizontal="left" vertical="center" wrapText="1" shrinkToFit="1"/>
    </xf>
    <xf numFmtId="0" fontId="18" fillId="2" borderId="1" xfId="0" applyFont="1" applyFill="1" applyBorder="1" applyAlignment="1" applyProtection="1">
      <alignment horizontal="center" vertical="center" wrapText="1"/>
    </xf>
    <xf numFmtId="165" fontId="18" fillId="8" borderId="1" xfId="0" applyNumberFormat="1" applyFont="1" applyFill="1" applyBorder="1" applyAlignment="1" applyProtection="1">
      <alignment horizontal="center" vertical="center" wrapText="1"/>
    </xf>
    <xf numFmtId="0" fontId="19" fillId="2" borderId="1" xfId="0" applyFont="1" applyFill="1" applyBorder="1" applyAlignment="1" applyProtection="1">
      <alignment horizontal="left" vertical="center" wrapText="1" shrinkToFit="1"/>
    </xf>
    <xf numFmtId="165" fontId="19" fillId="8" borderId="1" xfId="0" applyNumberFormat="1" applyFont="1" applyFill="1" applyBorder="1" applyAlignment="1" applyProtection="1">
      <alignment horizontal="center" vertical="center" wrapText="1"/>
    </xf>
    <xf numFmtId="165" fontId="18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/>
    <xf numFmtId="0" fontId="5" fillId="2" borderId="5" xfId="4" applyNumberFormat="1" applyFont="1" applyFill="1" applyBorder="1" applyAlignment="1" applyProtection="1">
      <alignment horizontal="center" vertical="center" wrapText="1" shrinkToFit="1"/>
    </xf>
    <xf numFmtId="2" fontId="5" fillId="2" borderId="1" xfId="4" applyNumberFormat="1" applyFont="1" applyFill="1" applyBorder="1" applyAlignment="1" applyProtection="1">
      <alignment horizontal="center" vertical="center" wrapText="1" shrinkToFit="1"/>
    </xf>
    <xf numFmtId="0" fontId="24" fillId="0" borderId="0" xfId="0" applyFont="1" applyFill="1" applyAlignment="1">
      <alignment vertical="center" wrapText="1"/>
    </xf>
    <xf numFmtId="0" fontId="17" fillId="2" borderId="1" xfId="0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 applyProtection="1">
      <alignment horizontal="center" vertical="center" wrapText="1" shrinkToFit="1"/>
    </xf>
    <xf numFmtId="1" fontId="17" fillId="2" borderId="1" xfId="0" applyNumberFormat="1" applyFont="1" applyFill="1" applyBorder="1" applyAlignment="1" applyProtection="1">
      <alignment horizontal="center" vertical="center" wrapText="1" shrinkToFit="1"/>
    </xf>
    <xf numFmtId="165" fontId="5" fillId="2" borderId="1" xfId="0" applyNumberFormat="1" applyFont="1" applyFill="1" applyBorder="1" applyAlignment="1" applyProtection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 shrinkToFit="1"/>
    </xf>
    <xf numFmtId="0" fontId="26" fillId="2" borderId="1" xfId="0" applyFont="1" applyFill="1" applyBorder="1" applyAlignment="1" applyProtection="1">
      <alignment horizontal="center" vertical="center" wrapText="1" shrinkToFit="1"/>
    </xf>
    <xf numFmtId="0" fontId="4" fillId="9" borderId="1" xfId="0" applyFont="1" applyFill="1" applyBorder="1" applyAlignment="1">
      <alignment wrapText="1"/>
    </xf>
    <xf numFmtId="0" fontId="0" fillId="9" borderId="1" xfId="0" applyFill="1" applyBorder="1" applyAlignment="1">
      <alignment horizontal="center" vertical="center" wrapText="1"/>
    </xf>
    <xf numFmtId="0" fontId="3" fillId="9" borderId="1" xfId="0" applyFont="1" applyFill="1" applyBorder="1" applyAlignment="1" applyProtection="1">
      <alignment horizontal="center" vertical="center" wrapText="1"/>
    </xf>
    <xf numFmtId="0" fontId="5" fillId="9" borderId="1" xfId="0" applyFont="1" applyFill="1" applyBorder="1"/>
    <xf numFmtId="165" fontId="11" fillId="9" borderId="1" xfId="4" applyNumberFormat="1" applyFont="1" applyFill="1" applyBorder="1" applyAlignment="1" applyProtection="1">
      <alignment horizontal="center" vertical="center" wrapText="1" shrinkToFit="1"/>
    </xf>
    <xf numFmtId="165" fontId="5" fillId="9" borderId="1" xfId="0" applyNumberFormat="1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wrapText="1"/>
    </xf>
    <xf numFmtId="0" fontId="26" fillId="9" borderId="1" xfId="0" applyFont="1" applyFill="1" applyBorder="1" applyAlignment="1" applyProtection="1">
      <alignment horizontal="center" vertical="center" wrapText="1"/>
    </xf>
    <xf numFmtId="165" fontId="26" fillId="9" borderId="1" xfId="4" applyNumberFormat="1" applyFont="1" applyFill="1" applyBorder="1" applyAlignment="1" applyProtection="1">
      <alignment horizontal="center" vertical="center" wrapText="1" shrinkToFit="1"/>
    </xf>
    <xf numFmtId="165" fontId="26" fillId="9" borderId="1" xfId="0" applyNumberFormat="1" applyFont="1" applyFill="1" applyBorder="1" applyAlignment="1">
      <alignment horizontal="center" vertical="center"/>
    </xf>
    <xf numFmtId="165" fontId="5" fillId="9" borderId="1" xfId="4" applyNumberFormat="1" applyFont="1" applyFill="1" applyBorder="1" applyAlignment="1" applyProtection="1">
      <alignment horizontal="center" vertical="center" wrapText="1" shrinkToFit="1"/>
    </xf>
    <xf numFmtId="0" fontId="5" fillId="9" borderId="1" xfId="0" applyFont="1" applyFill="1" applyBorder="1" applyAlignment="1" applyProtection="1">
      <alignment horizontal="center" vertical="center" wrapText="1"/>
    </xf>
    <xf numFmtId="0" fontId="4" fillId="9" borderId="1" xfId="0" applyFont="1" applyFill="1" applyBorder="1" applyAlignment="1" applyProtection="1">
      <alignment horizontal="left" vertical="center" wrapText="1" shrinkToFit="1"/>
    </xf>
    <xf numFmtId="0" fontId="6" fillId="9" borderId="1" xfId="0" applyFont="1" applyFill="1" applyBorder="1" applyAlignment="1" applyProtection="1">
      <alignment vertical="center" wrapText="1" shrinkToFit="1"/>
    </xf>
    <xf numFmtId="165" fontId="5" fillId="6" borderId="1" xfId="0" applyNumberFormat="1" applyFont="1" applyFill="1" applyBorder="1" applyAlignment="1">
      <alignment horizontal="center" vertical="center"/>
    </xf>
    <xf numFmtId="0" fontId="5" fillId="6" borderId="1" xfId="4" applyNumberFormat="1" applyFont="1" applyFill="1" applyBorder="1" applyAlignment="1" applyProtection="1">
      <alignment horizontal="center" vertical="center" wrapText="1" shrinkToFit="1"/>
    </xf>
    <xf numFmtId="165" fontId="11" fillId="6" borderId="1" xfId="4" applyNumberFormat="1" applyFont="1" applyFill="1" applyBorder="1" applyAlignment="1" applyProtection="1">
      <alignment horizontal="center" vertical="center" wrapText="1" shrinkToFit="1"/>
    </xf>
    <xf numFmtId="0" fontId="5" fillId="6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 shrinkToFit="1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vertical="center" wrapText="1" shrinkToFit="1"/>
    </xf>
    <xf numFmtId="2" fontId="26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 shrinkToFit="1"/>
    </xf>
    <xf numFmtId="2" fontId="26" fillId="2" borderId="1" xfId="4" applyNumberFormat="1" applyFont="1" applyFill="1" applyBorder="1" applyAlignment="1" applyProtection="1">
      <alignment horizontal="center" vertical="center" wrapText="1" shrinkToFit="1"/>
    </xf>
    <xf numFmtId="2" fontId="5" fillId="2" borderId="1" xfId="0" applyNumberFormat="1" applyFont="1" applyFill="1" applyBorder="1" applyAlignment="1">
      <alignment horizontal="center" vertical="center"/>
    </xf>
    <xf numFmtId="164" fontId="11" fillId="2" borderId="1" xfId="4" applyFont="1" applyFill="1" applyBorder="1" applyAlignment="1" applyProtection="1">
      <alignment horizontal="center" vertical="center" wrapText="1" shrinkToFit="1"/>
    </xf>
    <xf numFmtId="165" fontId="18" fillId="2" borderId="1" xfId="0" applyNumberFormat="1" applyFont="1" applyFill="1" applyBorder="1" applyAlignment="1" applyProtection="1">
      <alignment horizontal="center" vertical="center" wrapText="1"/>
    </xf>
    <xf numFmtId="1" fontId="17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1" xfId="4" applyNumberFormat="1" applyFont="1" applyFill="1" applyBorder="1" applyAlignment="1" applyProtection="1">
      <alignment horizontal="center" vertical="center" wrapText="1" shrinkToFit="1"/>
    </xf>
    <xf numFmtId="165" fontId="5" fillId="2" borderId="5" xfId="4" applyNumberFormat="1" applyFont="1" applyFill="1" applyBorder="1" applyAlignment="1" applyProtection="1">
      <alignment horizontal="center" vertical="center" wrapText="1" shrinkToFit="1"/>
    </xf>
    <xf numFmtId="0" fontId="29" fillId="0" borderId="0" xfId="0" applyFont="1" applyFill="1"/>
    <xf numFmtId="1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7" fontId="11" fillId="2" borderId="1" xfId="4" applyNumberFormat="1" applyFont="1" applyFill="1" applyBorder="1" applyAlignment="1" applyProtection="1">
      <alignment horizontal="center" vertical="center" wrapText="1" shrinkToFit="1"/>
    </xf>
    <xf numFmtId="167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67" fontId="5" fillId="2" borderId="1" xfId="0" applyNumberFormat="1" applyFont="1" applyFill="1" applyBorder="1" applyAlignment="1">
      <alignment horizontal="center" vertical="center"/>
    </xf>
    <xf numFmtId="167" fontId="5" fillId="2" borderId="1" xfId="4" applyNumberFormat="1" applyFont="1" applyFill="1" applyBorder="1" applyAlignment="1" applyProtection="1">
      <alignment horizontal="center" vertical="center" wrapText="1" shrinkToFi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5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41"/>
  <sheetViews>
    <sheetView tabSelected="1" view="pageBreakPreview" topLeftCell="B1" zoomScale="70" zoomScaleNormal="50" zoomScaleSheetLayoutView="70" workbookViewId="0">
      <pane ySplit="9" topLeftCell="A10" activePane="bottomLeft" state="frozen"/>
      <selection pane="bottomLeft" activeCell="B5" sqref="B5:U5"/>
    </sheetView>
  </sheetViews>
  <sheetFormatPr defaultRowHeight="25.5" x14ac:dyDescent="0.35"/>
  <cols>
    <col min="1" max="1" width="5.140625" style="3" hidden="1" customWidth="1"/>
    <col min="2" max="2" width="6.28515625" style="4" bestFit="1" customWidth="1"/>
    <col min="3" max="3" width="69.5703125" style="3" customWidth="1"/>
    <col min="4" max="4" width="29.5703125" style="3" customWidth="1"/>
    <col min="5" max="7" width="0.140625" style="3" customWidth="1"/>
    <col min="8" max="9" width="13.7109375" style="3" hidden="1" customWidth="1"/>
    <col min="10" max="10" width="16.7109375" style="3" hidden="1" customWidth="1"/>
    <col min="11" max="11" width="13.7109375" style="3" hidden="1" customWidth="1"/>
    <col min="12" max="12" width="12.42578125" style="3" hidden="1" customWidth="1"/>
    <col min="13" max="13" width="13.5703125" style="3" customWidth="1"/>
    <col min="14" max="14" width="13.7109375" style="3" hidden="1" customWidth="1"/>
    <col min="15" max="21" width="13.7109375" style="3" customWidth="1"/>
    <col min="22" max="22" width="13.28515625" style="16" hidden="1" customWidth="1"/>
    <col min="23" max="24" width="8.85546875" style="3" hidden="1" customWidth="1"/>
    <col min="25" max="25" width="11.7109375" style="3" hidden="1" customWidth="1"/>
    <col min="26" max="26" width="12" style="3" hidden="1" customWidth="1"/>
    <col min="27" max="27" width="10.5703125" style="3" hidden="1" customWidth="1"/>
    <col min="28" max="28" width="9.7109375" style="3" hidden="1" customWidth="1"/>
    <col min="29" max="29" width="10.85546875" style="3" hidden="1" customWidth="1"/>
    <col min="30" max="30" width="11.140625" style="3" hidden="1" customWidth="1"/>
    <col min="31" max="32" width="10" style="3" hidden="1" customWidth="1"/>
    <col min="33" max="33" width="10.28515625" style="3" hidden="1" customWidth="1"/>
    <col min="34" max="34" width="10.5703125" style="3" hidden="1" customWidth="1"/>
    <col min="35" max="35" width="10" style="3" hidden="1" customWidth="1"/>
    <col min="36" max="36" width="9.42578125" style="3" hidden="1" customWidth="1"/>
    <col min="37" max="37" width="10" style="3" hidden="1" customWidth="1"/>
    <col min="38" max="38" width="23.7109375" style="3" customWidth="1"/>
    <col min="39" max="39" width="8.85546875" style="3"/>
    <col min="40" max="40" width="9.42578125" style="3" bestFit="1" customWidth="1"/>
    <col min="41" max="16384" width="9.140625" style="3"/>
  </cols>
  <sheetData>
    <row r="1" spans="1:39" ht="21" customHeight="1" x14ac:dyDescent="0.35">
      <c r="B1" s="95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49" t="s">
        <v>200</v>
      </c>
      <c r="S1" s="149"/>
      <c r="T1" s="149"/>
      <c r="U1" s="149"/>
    </row>
    <row r="2" spans="1:39" x14ac:dyDescent="0.35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49"/>
      <c r="S2" s="149"/>
      <c r="T2" s="149"/>
      <c r="U2" s="149"/>
    </row>
    <row r="3" spans="1:39" ht="18.75" customHeight="1" x14ac:dyDescent="0.3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49"/>
      <c r="S3" s="149"/>
      <c r="T3" s="149"/>
      <c r="U3" s="149"/>
    </row>
    <row r="4" spans="1:39" ht="53.25" customHeight="1" x14ac:dyDescent="0.35">
      <c r="B4" s="157" t="s">
        <v>199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</row>
    <row r="5" spans="1:39" ht="54" customHeight="1" x14ac:dyDescent="0.35">
      <c r="B5" s="155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</row>
    <row r="6" spans="1:39" ht="93.75" x14ac:dyDescent="0.35">
      <c r="B6" s="158"/>
      <c r="C6" s="140" t="s">
        <v>28</v>
      </c>
      <c r="D6" s="140" t="s">
        <v>29</v>
      </c>
      <c r="E6" s="12"/>
      <c r="F6" s="1" t="s">
        <v>30</v>
      </c>
      <c r="G6" s="2" t="s">
        <v>30</v>
      </c>
      <c r="H6" s="2" t="s">
        <v>30</v>
      </c>
      <c r="I6" s="1" t="s">
        <v>30</v>
      </c>
      <c r="J6" s="90" t="s">
        <v>30</v>
      </c>
      <c r="K6" s="90" t="s">
        <v>194</v>
      </c>
      <c r="L6" s="90" t="s">
        <v>30</v>
      </c>
      <c r="M6" s="90" t="s">
        <v>30</v>
      </c>
      <c r="N6" s="90"/>
      <c r="O6" s="90" t="s">
        <v>31</v>
      </c>
      <c r="P6" s="153" t="s">
        <v>32</v>
      </c>
      <c r="Q6" s="154"/>
      <c r="R6" s="154"/>
      <c r="S6" s="154"/>
      <c r="T6" s="154"/>
      <c r="U6" s="154"/>
    </row>
    <row r="7" spans="1:39" ht="22.5" customHeight="1" x14ac:dyDescent="0.35">
      <c r="B7" s="159"/>
      <c r="C7" s="141"/>
      <c r="D7" s="141"/>
      <c r="E7" s="144">
        <v>2016</v>
      </c>
      <c r="F7" s="140">
        <v>2017</v>
      </c>
      <c r="G7" s="140">
        <v>2018</v>
      </c>
      <c r="H7" s="140">
        <v>2019</v>
      </c>
      <c r="I7" s="140">
        <v>2020</v>
      </c>
      <c r="J7" s="140">
        <v>2021</v>
      </c>
      <c r="K7" s="146">
        <v>2022</v>
      </c>
      <c r="L7" s="140">
        <v>2023</v>
      </c>
      <c r="M7" s="140">
        <v>2024</v>
      </c>
      <c r="N7" s="140"/>
      <c r="O7" s="140">
        <v>2025</v>
      </c>
      <c r="P7" s="150">
        <v>2026</v>
      </c>
      <c r="Q7" s="151"/>
      <c r="R7" s="152">
        <v>2027</v>
      </c>
      <c r="S7" s="151"/>
      <c r="T7" s="152">
        <v>2028</v>
      </c>
      <c r="U7" s="151"/>
    </row>
    <row r="8" spans="1:39" x14ac:dyDescent="0.35">
      <c r="B8" s="159"/>
      <c r="C8" s="141"/>
      <c r="D8" s="141"/>
      <c r="E8" s="144"/>
      <c r="F8" s="141"/>
      <c r="G8" s="141"/>
      <c r="H8" s="141"/>
      <c r="I8" s="141"/>
      <c r="J8" s="141"/>
      <c r="K8" s="147"/>
      <c r="L8" s="141"/>
      <c r="M8" s="141"/>
      <c r="N8" s="141"/>
      <c r="O8" s="141"/>
      <c r="P8" s="46" t="s">
        <v>47</v>
      </c>
      <c r="Q8" s="1" t="s">
        <v>48</v>
      </c>
      <c r="R8" s="1" t="s">
        <v>47</v>
      </c>
      <c r="S8" s="1" t="s">
        <v>48</v>
      </c>
      <c r="T8" s="1" t="s">
        <v>47</v>
      </c>
      <c r="U8" s="1" t="s">
        <v>48</v>
      </c>
    </row>
    <row r="9" spans="1:39" x14ac:dyDescent="0.35">
      <c r="B9" s="159"/>
      <c r="C9" s="143"/>
      <c r="D9" s="143"/>
      <c r="E9" s="145"/>
      <c r="F9" s="143"/>
      <c r="G9" s="143"/>
      <c r="H9" s="143"/>
      <c r="I9" s="143"/>
      <c r="J9" s="142"/>
      <c r="K9" s="148"/>
      <c r="L9" s="142"/>
      <c r="M9" s="142"/>
      <c r="N9" s="142"/>
      <c r="O9" s="142"/>
      <c r="P9" s="46"/>
      <c r="Q9" s="1"/>
      <c r="R9" s="1"/>
      <c r="S9" s="1"/>
      <c r="T9" s="1"/>
      <c r="U9" s="1"/>
    </row>
    <row r="10" spans="1:39" s="43" customFormat="1" x14ac:dyDescent="0.35">
      <c r="B10" s="100">
        <v>1</v>
      </c>
      <c r="C10" s="103" t="s">
        <v>2</v>
      </c>
      <c r="D10" s="103"/>
      <c r="E10" s="103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5"/>
      <c r="Q10" s="105"/>
      <c r="R10" s="105"/>
      <c r="S10" s="105"/>
      <c r="T10" s="105"/>
      <c r="U10" s="105"/>
      <c r="V10" s="44"/>
    </row>
    <row r="11" spans="1:39" s="21" customFormat="1" x14ac:dyDescent="0.2">
      <c r="A11" s="3"/>
      <c r="B11" s="59">
        <v>1</v>
      </c>
      <c r="C11" s="60" t="s">
        <v>198</v>
      </c>
      <c r="D11" s="50" t="s">
        <v>185</v>
      </c>
      <c r="E11" s="50"/>
      <c r="F11" s="61">
        <v>5361</v>
      </c>
      <c r="G11" s="62">
        <v>5268</v>
      </c>
      <c r="H11" s="62">
        <v>5206</v>
      </c>
      <c r="I11" s="62">
        <v>5138</v>
      </c>
      <c r="J11" s="62">
        <v>5053</v>
      </c>
      <c r="K11" s="62">
        <v>4824</v>
      </c>
      <c r="L11" s="62">
        <v>4700</v>
      </c>
      <c r="M11" s="68">
        <v>4621</v>
      </c>
      <c r="N11" s="62"/>
      <c r="O11" s="62">
        <v>4539</v>
      </c>
      <c r="P11" s="68">
        <v>4521</v>
      </c>
      <c r="Q11" s="68">
        <v>4639</v>
      </c>
      <c r="R11" s="68">
        <v>4471</v>
      </c>
      <c r="S11" s="68">
        <v>4649</v>
      </c>
      <c r="T11" s="68">
        <v>4421</v>
      </c>
      <c r="U11" s="68">
        <v>4660</v>
      </c>
      <c r="V11" s="22">
        <v>2015</v>
      </c>
      <c r="W11" s="23">
        <v>2016</v>
      </c>
      <c r="X11" s="24">
        <v>2017</v>
      </c>
      <c r="Y11" s="23">
        <v>2018</v>
      </c>
      <c r="Z11" s="25"/>
      <c r="AA11" s="26"/>
      <c r="AB11" s="26"/>
      <c r="AC11" s="26"/>
      <c r="AD11" s="26"/>
      <c r="AE11" s="26"/>
      <c r="AF11" s="26"/>
    </row>
    <row r="12" spans="1:39" s="21" customFormat="1" ht="26.25" x14ac:dyDescent="0.3">
      <c r="A12" s="3"/>
      <c r="B12" s="59">
        <v>2</v>
      </c>
      <c r="C12" s="52" t="s">
        <v>51</v>
      </c>
      <c r="D12" s="50" t="s">
        <v>185</v>
      </c>
      <c r="E12" s="50"/>
      <c r="F12" s="61">
        <f>F11*55%</f>
        <v>2948.55</v>
      </c>
      <c r="G12" s="61">
        <f t="shared" ref="G12:H12" si="0">G11*55%</f>
        <v>2897.4</v>
      </c>
      <c r="H12" s="61">
        <f t="shared" si="0"/>
        <v>2863.3</v>
      </c>
      <c r="I12" s="61">
        <v>2273</v>
      </c>
      <c r="J12" s="61">
        <v>2324</v>
      </c>
      <c r="K12" s="61">
        <v>2488</v>
      </c>
      <c r="L12" s="61">
        <v>2297</v>
      </c>
      <c r="M12" s="134">
        <f>M11*49%</f>
        <v>2264.29</v>
      </c>
      <c r="N12" s="61"/>
      <c r="O12" s="61">
        <f>O11*49%</f>
        <v>2224.11</v>
      </c>
      <c r="P12" s="61">
        <f>P11*49%</f>
        <v>2215.29</v>
      </c>
      <c r="Q12" s="61">
        <f t="shared" ref="Q12:U12" si="1">Q11*49%</f>
        <v>2273.11</v>
      </c>
      <c r="R12" s="61">
        <f t="shared" si="1"/>
        <v>2190.79</v>
      </c>
      <c r="S12" s="61">
        <f t="shared" si="1"/>
        <v>2278.0099999999998</v>
      </c>
      <c r="T12" s="61">
        <f t="shared" si="1"/>
        <v>2166.29</v>
      </c>
      <c r="U12" s="61">
        <f t="shared" si="1"/>
        <v>2283.4</v>
      </c>
      <c r="V12" s="27">
        <f>V13+V14</f>
        <v>437.3</v>
      </c>
      <c r="W12" s="28">
        <f>W13+W14</f>
        <v>438.19900000000007</v>
      </c>
      <c r="X12" s="28">
        <f>X13+X14</f>
        <v>438.41100000000006</v>
      </c>
      <c r="Y12" s="29">
        <f>Y13+Y14</f>
        <v>438.62600000000003</v>
      </c>
      <c r="Z12" s="30"/>
      <c r="AA12" s="30">
        <f>Y12*55%</f>
        <v>241.24430000000004</v>
      </c>
      <c r="AB12" s="31"/>
      <c r="AC12" s="31"/>
      <c r="AD12" s="31"/>
      <c r="AE12" s="31"/>
      <c r="AF12" s="31"/>
    </row>
    <row r="13" spans="1:39" s="21" customFormat="1" ht="25.5" customHeight="1" x14ac:dyDescent="0.3">
      <c r="A13" s="3"/>
      <c r="B13" s="59">
        <v>3</v>
      </c>
      <c r="C13" s="52" t="s">
        <v>52</v>
      </c>
      <c r="D13" s="50" t="s">
        <v>185</v>
      </c>
      <c r="E13" s="50"/>
      <c r="F13" s="61">
        <f>F11*20%</f>
        <v>1072.2</v>
      </c>
      <c r="G13" s="61">
        <f t="shared" ref="G13:AK13" si="2">G11*20%</f>
        <v>1053.6000000000001</v>
      </c>
      <c r="H13" s="61">
        <f t="shared" si="2"/>
        <v>1041.2</v>
      </c>
      <c r="I13" s="61">
        <v>1028</v>
      </c>
      <c r="J13" s="61">
        <v>1061</v>
      </c>
      <c r="K13" s="61">
        <v>1119</v>
      </c>
      <c r="L13" s="61">
        <v>1045</v>
      </c>
      <c r="M13" s="134">
        <f>M11*22.5%</f>
        <v>1039.7250000000001</v>
      </c>
      <c r="N13" s="61"/>
      <c r="O13" s="61">
        <f>O11*22.5%</f>
        <v>1021.275</v>
      </c>
      <c r="P13" s="61">
        <f t="shared" ref="P13:U13" si="3">P11*22.5%</f>
        <v>1017.225</v>
      </c>
      <c r="Q13" s="61">
        <f t="shared" si="3"/>
        <v>1043.7750000000001</v>
      </c>
      <c r="R13" s="61">
        <f t="shared" si="3"/>
        <v>1005.975</v>
      </c>
      <c r="S13" s="61">
        <f t="shared" si="3"/>
        <v>1046.0250000000001</v>
      </c>
      <c r="T13" s="61">
        <f t="shared" si="3"/>
        <v>994.72500000000002</v>
      </c>
      <c r="U13" s="61">
        <f t="shared" si="3"/>
        <v>1048.5</v>
      </c>
      <c r="V13" s="39">
        <f t="shared" si="2"/>
        <v>403</v>
      </c>
      <c r="W13" s="39">
        <f t="shared" si="2"/>
        <v>403.20000000000005</v>
      </c>
      <c r="X13" s="39">
        <f t="shared" si="2"/>
        <v>403.40000000000003</v>
      </c>
      <c r="Y13" s="39">
        <f t="shared" si="2"/>
        <v>403.6</v>
      </c>
      <c r="Z13" s="39">
        <f t="shared" si="2"/>
        <v>0</v>
      </c>
      <c r="AA13" s="39">
        <f t="shared" si="2"/>
        <v>0</v>
      </c>
      <c r="AB13" s="39">
        <f t="shared" si="2"/>
        <v>0</v>
      </c>
      <c r="AC13" s="39">
        <f t="shared" si="2"/>
        <v>0</v>
      </c>
      <c r="AD13" s="39">
        <f t="shared" si="2"/>
        <v>0</v>
      </c>
      <c r="AE13" s="39">
        <f t="shared" si="2"/>
        <v>0</v>
      </c>
      <c r="AF13" s="39">
        <f t="shared" si="2"/>
        <v>0</v>
      </c>
      <c r="AG13" s="39">
        <f t="shared" si="2"/>
        <v>0</v>
      </c>
      <c r="AH13" s="39">
        <f t="shared" si="2"/>
        <v>0</v>
      </c>
      <c r="AI13" s="39">
        <f t="shared" si="2"/>
        <v>0</v>
      </c>
      <c r="AJ13" s="39">
        <f t="shared" si="2"/>
        <v>0</v>
      </c>
      <c r="AK13" s="39">
        <f t="shared" si="2"/>
        <v>0</v>
      </c>
      <c r="AL13" s="39"/>
      <c r="AM13" s="39"/>
    </row>
    <row r="14" spans="1:39" s="21" customFormat="1" ht="23.25" customHeight="1" x14ac:dyDescent="0.2">
      <c r="A14" s="3"/>
      <c r="B14" s="59">
        <v>4</v>
      </c>
      <c r="C14" s="60" t="s">
        <v>34</v>
      </c>
      <c r="D14" s="50" t="s">
        <v>35</v>
      </c>
      <c r="E14" s="50"/>
      <c r="F14" s="63">
        <v>68.5</v>
      </c>
      <c r="G14" s="99">
        <v>68.599999999999994</v>
      </c>
      <c r="H14" s="63">
        <v>68.7</v>
      </c>
      <c r="I14" s="63">
        <v>68.599999999999994</v>
      </c>
      <c r="J14" s="63">
        <v>68.599999999999994</v>
      </c>
      <c r="K14" s="63">
        <v>68.599999999999994</v>
      </c>
      <c r="L14" s="63">
        <v>68.599999999999994</v>
      </c>
      <c r="M14" s="63">
        <v>68.599999999999994</v>
      </c>
      <c r="N14" s="63"/>
      <c r="O14" s="63">
        <v>68.599999999999994</v>
      </c>
      <c r="P14" s="53">
        <v>68.599999999999994</v>
      </c>
      <c r="Q14" s="53">
        <v>68.599999999999994</v>
      </c>
      <c r="R14" s="53">
        <v>68.599999999999994</v>
      </c>
      <c r="S14" s="53">
        <v>68.599999999999994</v>
      </c>
      <c r="T14" s="53">
        <v>68.599999999999994</v>
      </c>
      <c r="U14" s="53">
        <v>68.599999999999994</v>
      </c>
      <c r="V14" s="19">
        <v>34.299999999999997</v>
      </c>
      <c r="W14" s="18">
        <v>34.999000000000002</v>
      </c>
      <c r="X14" s="18">
        <v>35.011000000000003</v>
      </c>
      <c r="Y14" s="18">
        <f>X14+0.015</f>
        <v>35.026000000000003</v>
      </c>
      <c r="Z14" s="20"/>
      <c r="AA14" s="20"/>
      <c r="AB14" s="20"/>
      <c r="AC14" s="20"/>
      <c r="AD14" s="20"/>
      <c r="AE14" s="20"/>
      <c r="AF14" s="20"/>
    </row>
    <row r="15" spans="1:39" s="21" customFormat="1" ht="30" hidden="1" customHeight="1" x14ac:dyDescent="0.2">
      <c r="A15" s="3"/>
      <c r="B15" s="59"/>
      <c r="C15" s="64" t="s">
        <v>172</v>
      </c>
      <c r="D15" s="65"/>
      <c r="E15" s="65"/>
      <c r="F15" s="97">
        <v>100</v>
      </c>
      <c r="G15" s="98">
        <v>112</v>
      </c>
      <c r="H15" s="97">
        <v>115</v>
      </c>
      <c r="I15" s="96">
        <v>70</v>
      </c>
      <c r="J15" s="96">
        <v>63</v>
      </c>
      <c r="K15" s="96">
        <v>63</v>
      </c>
      <c r="L15" s="96">
        <v>75</v>
      </c>
      <c r="M15" s="96">
        <v>60</v>
      </c>
      <c r="N15" s="96"/>
      <c r="O15" s="96">
        <v>60</v>
      </c>
      <c r="P15" s="130">
        <v>70</v>
      </c>
      <c r="Q15" s="130">
        <v>85</v>
      </c>
      <c r="R15" s="130">
        <v>65</v>
      </c>
      <c r="S15" s="130">
        <v>90</v>
      </c>
      <c r="T15" s="130">
        <v>60</v>
      </c>
      <c r="U15" s="130">
        <v>95</v>
      </c>
      <c r="V15" s="32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39" s="21" customFormat="1" ht="25.5" hidden="1" customHeight="1" x14ac:dyDescent="0.2">
      <c r="A16" s="3"/>
      <c r="B16" s="59"/>
      <c r="C16" s="66" t="s">
        <v>173</v>
      </c>
      <c r="D16" s="65"/>
      <c r="E16" s="65"/>
      <c r="F16" s="97">
        <v>73</v>
      </c>
      <c r="G16" s="98">
        <v>89</v>
      </c>
      <c r="H16" s="97">
        <v>106</v>
      </c>
      <c r="I16" s="96">
        <v>82</v>
      </c>
      <c r="J16" s="96">
        <v>62</v>
      </c>
      <c r="K16" s="96">
        <v>62</v>
      </c>
      <c r="L16" s="96">
        <v>99</v>
      </c>
      <c r="M16" s="96">
        <v>110</v>
      </c>
      <c r="N16" s="96"/>
      <c r="O16" s="96">
        <v>100</v>
      </c>
      <c r="P16" s="130">
        <v>95</v>
      </c>
      <c r="Q16" s="130">
        <v>85</v>
      </c>
      <c r="R16" s="130">
        <v>90</v>
      </c>
      <c r="S16" s="130">
        <v>85</v>
      </c>
      <c r="T16" s="130">
        <v>85</v>
      </c>
      <c r="U16" s="130">
        <v>90</v>
      </c>
      <c r="V16" s="32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42" s="21" customFormat="1" ht="39.75" customHeight="1" x14ac:dyDescent="0.35">
      <c r="A17" s="3"/>
      <c r="B17" s="59">
        <v>5</v>
      </c>
      <c r="C17" s="60" t="s">
        <v>36</v>
      </c>
      <c r="D17" s="50" t="s">
        <v>37</v>
      </c>
      <c r="E17" s="50"/>
      <c r="F17" s="53">
        <f>F15/F11*1000</f>
        <v>18.653236336504385</v>
      </c>
      <c r="G17" s="53">
        <f t="shared" ref="G17" si="4">G15/G11*1000</f>
        <v>21.260440394836749</v>
      </c>
      <c r="H17" s="53">
        <f t="shared" ref="H17:M17" si="5">H15/H11*1000</f>
        <v>22.089896273530542</v>
      </c>
      <c r="I17" s="53">
        <f t="shared" si="5"/>
        <v>13.623978201634877</v>
      </c>
      <c r="J17" s="53">
        <f t="shared" si="5"/>
        <v>12.467840886602019</v>
      </c>
      <c r="K17" s="53">
        <f t="shared" si="5"/>
        <v>13.059701492537313</v>
      </c>
      <c r="L17" s="53">
        <f t="shared" si="5"/>
        <v>15.957446808510637</v>
      </c>
      <c r="M17" s="53">
        <f t="shared" si="5"/>
        <v>12.984202553559836</v>
      </c>
      <c r="N17" s="53"/>
      <c r="O17" s="53">
        <f>O15/O11*1000</f>
        <v>13.218770654329148</v>
      </c>
      <c r="P17" s="53">
        <f t="shared" ref="P17:U17" si="6">P15/P11*1000</f>
        <v>15.483300154833001</v>
      </c>
      <c r="Q17" s="53">
        <f t="shared" si="6"/>
        <v>18.322914421211468</v>
      </c>
      <c r="R17" s="53">
        <f t="shared" si="6"/>
        <v>14.538134645493177</v>
      </c>
      <c r="S17" s="53">
        <f t="shared" si="6"/>
        <v>19.359001935900196</v>
      </c>
      <c r="T17" s="53">
        <f>T15/T11*1000</f>
        <v>13.571590137977834</v>
      </c>
      <c r="U17" s="53">
        <f t="shared" si="6"/>
        <v>20.386266094420598</v>
      </c>
      <c r="V17" s="33"/>
      <c r="AA17" s="21">
        <v>51.3</v>
      </c>
      <c r="AE17" s="21">
        <v>52.1</v>
      </c>
      <c r="AH17" s="21">
        <v>52.2</v>
      </c>
    </row>
    <row r="18" spans="1:42" s="21" customFormat="1" ht="34.5" hidden="1" customHeight="1" x14ac:dyDescent="0.35">
      <c r="A18" s="3"/>
      <c r="B18" s="59">
        <v>6</v>
      </c>
      <c r="C18" s="60" t="s">
        <v>53</v>
      </c>
      <c r="D18" s="50" t="s">
        <v>54</v>
      </c>
      <c r="E18" s="50"/>
      <c r="F18" s="53">
        <v>1.585</v>
      </c>
      <c r="G18" s="53">
        <v>1.6080000000000001</v>
      </c>
      <c r="H18" s="53">
        <v>2.06</v>
      </c>
      <c r="I18" s="53">
        <v>2.0609999999999999</v>
      </c>
      <c r="J18" s="53">
        <v>2.06</v>
      </c>
      <c r="K18" s="53">
        <v>2</v>
      </c>
      <c r="L18" s="53">
        <v>2</v>
      </c>
      <c r="M18" s="53"/>
      <c r="N18" s="53"/>
      <c r="O18" s="53"/>
      <c r="P18" s="53">
        <v>2.0470000000000002</v>
      </c>
      <c r="Q18" s="53">
        <v>2.0470000000000002</v>
      </c>
      <c r="R18" s="53">
        <v>2.028</v>
      </c>
      <c r="S18" s="53">
        <v>2.028</v>
      </c>
      <c r="T18" s="53">
        <v>2.0499999999999998</v>
      </c>
      <c r="U18" s="53">
        <v>2.0499999999999998</v>
      </c>
      <c r="V18" s="33"/>
      <c r="X18" s="34" t="s">
        <v>170</v>
      </c>
      <c r="Y18" s="24">
        <v>2019</v>
      </c>
      <c r="Z18" s="24">
        <v>2020</v>
      </c>
      <c r="AA18" s="24">
        <v>2021</v>
      </c>
      <c r="AB18" s="24">
        <v>2022</v>
      </c>
      <c r="AC18" s="24">
        <v>2023</v>
      </c>
      <c r="AD18" s="24">
        <v>2024</v>
      </c>
      <c r="AE18" s="35" t="s">
        <v>171</v>
      </c>
      <c r="AF18" s="24">
        <v>2019</v>
      </c>
      <c r="AG18" s="24">
        <v>2020</v>
      </c>
      <c r="AH18" s="24">
        <v>2021</v>
      </c>
      <c r="AI18" s="24">
        <v>2022</v>
      </c>
      <c r="AJ18" s="24">
        <v>2023</v>
      </c>
      <c r="AK18" s="24">
        <v>2024</v>
      </c>
    </row>
    <row r="19" spans="1:42" s="21" customFormat="1" ht="37.5" x14ac:dyDescent="0.35">
      <c r="A19" s="3"/>
      <c r="B19" s="59">
        <v>6</v>
      </c>
      <c r="C19" s="60" t="s">
        <v>38</v>
      </c>
      <c r="D19" s="50" t="s">
        <v>39</v>
      </c>
      <c r="E19" s="50"/>
      <c r="F19" s="63">
        <f t="shared" ref="F19:G19" si="7">F16/F11*1000</f>
        <v>13.6168625256482</v>
      </c>
      <c r="G19" s="63">
        <f t="shared" si="7"/>
        <v>16.89445709946849</v>
      </c>
      <c r="H19" s="63">
        <f>H16/H11*1000</f>
        <v>20.361121782558588</v>
      </c>
      <c r="I19" s="63">
        <f t="shared" ref="I19:U19" si="8">I16/I11*1000</f>
        <v>15.959517321915143</v>
      </c>
      <c r="J19" s="63">
        <f>J16/J11*1000</f>
        <v>12.269938650306749</v>
      </c>
      <c r="K19" s="63">
        <f>K16/K11*1000</f>
        <v>12.85240464344942</v>
      </c>
      <c r="L19" s="63">
        <f>L16/L11*1000</f>
        <v>21.063829787234042</v>
      </c>
      <c r="M19" s="63">
        <f>M16/M11*1000</f>
        <v>23.80437134819303</v>
      </c>
      <c r="N19" s="63"/>
      <c r="O19" s="63">
        <f>O16/O11*1000</f>
        <v>22.031284423881914</v>
      </c>
      <c r="P19" s="63">
        <f t="shared" si="8"/>
        <v>21.013050210130501</v>
      </c>
      <c r="Q19" s="63">
        <f t="shared" si="8"/>
        <v>18.322914421211468</v>
      </c>
      <c r="R19" s="63">
        <f t="shared" si="8"/>
        <v>20.129724893759786</v>
      </c>
      <c r="S19" s="63">
        <f t="shared" si="8"/>
        <v>18.283501828350182</v>
      </c>
      <c r="T19" s="63">
        <f t="shared" si="8"/>
        <v>19.226419362135264</v>
      </c>
      <c r="U19" s="63">
        <f t="shared" si="8"/>
        <v>19.313304721030043</v>
      </c>
      <c r="V19" s="33"/>
      <c r="Y19" s="36">
        <f>Y20+Y23</f>
        <v>438.67599999999999</v>
      </c>
      <c r="Z19" s="36">
        <f t="shared" ref="Z19:AD19" si="9">Z20+Z23</f>
        <v>438.733</v>
      </c>
      <c r="AA19" s="36">
        <f t="shared" si="9"/>
        <v>438.80799999999994</v>
      </c>
      <c r="AB19" s="36">
        <f t="shared" si="9"/>
        <v>439.00799999999998</v>
      </c>
      <c r="AC19" s="36">
        <f t="shared" si="9"/>
        <v>439.23799999999994</v>
      </c>
      <c r="AD19" s="36">
        <f t="shared" si="9"/>
        <v>439.52799999999996</v>
      </c>
      <c r="AE19" s="18"/>
      <c r="AF19" s="37">
        <f>AF20+AF23</f>
        <v>438.85600000000005</v>
      </c>
      <c r="AG19" s="37">
        <f>AG20+AG23</f>
        <v>439.18600000000004</v>
      </c>
      <c r="AH19" s="37">
        <f>AH20+AH23</f>
        <v>439.60600000000005</v>
      </c>
      <c r="AI19" s="37">
        <f t="shared" ref="AI19:AK19" si="10">AI20+AI23</f>
        <v>440.05600000000004</v>
      </c>
      <c r="AJ19" s="37">
        <f t="shared" si="10"/>
        <v>440.50600000000003</v>
      </c>
      <c r="AK19" s="37">
        <f t="shared" si="10"/>
        <v>440.95600000000002</v>
      </c>
      <c r="AL19" s="38"/>
    </row>
    <row r="20" spans="1:42" s="21" customFormat="1" ht="36.75" customHeight="1" x14ac:dyDescent="0.35">
      <c r="A20" s="3"/>
      <c r="B20" s="59">
        <v>7</v>
      </c>
      <c r="C20" s="60" t="s">
        <v>40</v>
      </c>
      <c r="D20" s="50" t="s">
        <v>41</v>
      </c>
      <c r="E20" s="50"/>
      <c r="F20" s="63">
        <f>F17-F19</f>
        <v>5.0363738108561851</v>
      </c>
      <c r="G20" s="63">
        <f t="shared" ref="G20:U20" si="11">G17-G19</f>
        <v>4.3659832953682596</v>
      </c>
      <c r="H20" s="63">
        <f t="shared" si="11"/>
        <v>1.7287744909719542</v>
      </c>
      <c r="I20" s="63">
        <f t="shared" si="11"/>
        <v>-2.3355391202802664</v>
      </c>
      <c r="J20" s="63">
        <f>J17-J19</f>
        <v>0.19790223629527048</v>
      </c>
      <c r="K20" s="63">
        <f>K17-K19</f>
        <v>0.20729684908789281</v>
      </c>
      <c r="L20" s="63">
        <f>L17-L19</f>
        <v>-5.1063829787234045</v>
      </c>
      <c r="M20" s="63">
        <f>M17-M19</f>
        <v>-10.820168794633194</v>
      </c>
      <c r="N20" s="63"/>
      <c r="O20" s="63">
        <f>O17-O19</f>
        <v>-8.8125137695527656</v>
      </c>
      <c r="P20" s="63">
        <f t="shared" si="11"/>
        <v>-5.5297500552974999</v>
      </c>
      <c r="Q20" s="63">
        <f t="shared" si="11"/>
        <v>0</v>
      </c>
      <c r="R20" s="63">
        <f t="shared" si="11"/>
        <v>-5.5915902482666091</v>
      </c>
      <c r="S20" s="63">
        <f t="shared" si="11"/>
        <v>1.0755001075500132</v>
      </c>
      <c r="T20" s="63">
        <f t="shared" si="11"/>
        <v>-5.6548292241574298</v>
      </c>
      <c r="U20" s="63">
        <f t="shared" si="11"/>
        <v>1.0729613733905552</v>
      </c>
      <c r="V20" s="33"/>
      <c r="Y20" s="36">
        <f>Y13+0.015</f>
        <v>403.61500000000001</v>
      </c>
      <c r="Z20" s="36">
        <f>Y20+0.018</f>
        <v>403.63299999999998</v>
      </c>
      <c r="AA20" s="36">
        <f>Z20+0.03</f>
        <v>403.66299999999995</v>
      </c>
      <c r="AB20" s="36">
        <f>AA20+0.05</f>
        <v>403.71299999999997</v>
      </c>
      <c r="AC20" s="36">
        <f>AB20+0.06</f>
        <v>403.77299999999997</v>
      </c>
      <c r="AD20" s="36">
        <f>AC20+0.09</f>
        <v>403.86299999999994</v>
      </c>
      <c r="AE20" s="18"/>
      <c r="AF20" s="18">
        <f>Y13+0.05</f>
        <v>403.65000000000003</v>
      </c>
      <c r="AG20" s="18">
        <f>AF20+0.1</f>
        <v>403.75000000000006</v>
      </c>
      <c r="AH20" s="18">
        <f>AG20+0.12</f>
        <v>403.87000000000006</v>
      </c>
      <c r="AI20" s="18">
        <f>AH20+0.13</f>
        <v>404.00000000000006</v>
      </c>
      <c r="AJ20" s="18">
        <f>AI20+0.13</f>
        <v>404.13000000000005</v>
      </c>
      <c r="AK20" s="18">
        <f>AJ20+0.13</f>
        <v>404.26000000000005</v>
      </c>
      <c r="AL20" s="18"/>
    </row>
    <row r="21" spans="1:42" s="21" customFormat="1" ht="1.5" customHeight="1" x14ac:dyDescent="0.35">
      <c r="A21" s="3"/>
      <c r="B21" s="59"/>
      <c r="C21" s="64" t="s">
        <v>191</v>
      </c>
      <c r="D21" s="50"/>
      <c r="E21" s="50"/>
      <c r="F21" s="63"/>
      <c r="G21" s="63"/>
      <c r="H21" s="97">
        <v>160</v>
      </c>
      <c r="I21" s="97">
        <v>129</v>
      </c>
      <c r="J21" s="97">
        <v>127</v>
      </c>
      <c r="K21" s="98">
        <v>127</v>
      </c>
      <c r="L21" s="98">
        <v>130</v>
      </c>
      <c r="M21" s="98">
        <v>120</v>
      </c>
      <c r="N21" s="98"/>
      <c r="O21" s="98">
        <v>160</v>
      </c>
      <c r="P21" s="99">
        <v>125</v>
      </c>
      <c r="Q21" s="99">
        <v>145</v>
      </c>
      <c r="R21" s="99">
        <v>120</v>
      </c>
      <c r="S21" s="99">
        <v>145</v>
      </c>
      <c r="T21" s="99">
        <v>115</v>
      </c>
      <c r="U21" s="99">
        <v>145</v>
      </c>
      <c r="V21" s="33"/>
      <c r="Y21" s="36"/>
      <c r="Z21" s="36"/>
      <c r="AA21" s="36"/>
      <c r="AB21" s="36"/>
      <c r="AC21" s="36"/>
      <c r="AD21" s="36"/>
      <c r="AE21" s="18"/>
      <c r="AF21" s="18"/>
      <c r="AG21" s="18"/>
      <c r="AH21" s="18"/>
      <c r="AI21" s="18"/>
      <c r="AJ21" s="18"/>
      <c r="AK21" s="18"/>
      <c r="AL21" s="18"/>
    </row>
    <row r="22" spans="1:42" s="21" customFormat="1" hidden="1" x14ac:dyDescent="0.35">
      <c r="A22" s="3"/>
      <c r="B22" s="59"/>
      <c r="C22" s="66" t="s">
        <v>192</v>
      </c>
      <c r="D22" s="50"/>
      <c r="E22" s="50"/>
      <c r="F22" s="63"/>
      <c r="G22" s="63"/>
      <c r="H22" s="97">
        <v>231</v>
      </c>
      <c r="I22" s="97">
        <v>132</v>
      </c>
      <c r="J22" s="97">
        <v>152</v>
      </c>
      <c r="K22" s="98">
        <v>152</v>
      </c>
      <c r="L22" s="98">
        <v>185</v>
      </c>
      <c r="M22" s="98">
        <v>152</v>
      </c>
      <c r="N22" s="98"/>
      <c r="O22" s="98">
        <v>138</v>
      </c>
      <c r="P22" s="99">
        <v>150</v>
      </c>
      <c r="Q22" s="99">
        <v>135</v>
      </c>
      <c r="R22" s="99">
        <v>145</v>
      </c>
      <c r="S22" s="99">
        <v>141</v>
      </c>
      <c r="T22" s="99">
        <v>140</v>
      </c>
      <c r="U22" s="99">
        <v>141</v>
      </c>
      <c r="V22" s="33"/>
      <c r="Y22" s="36"/>
      <c r="Z22" s="36"/>
      <c r="AA22" s="36"/>
      <c r="AB22" s="36"/>
      <c r="AC22" s="36"/>
      <c r="AD22" s="36"/>
      <c r="AE22" s="18"/>
      <c r="AF22" s="18"/>
      <c r="AG22" s="18"/>
      <c r="AH22" s="18"/>
      <c r="AI22" s="18"/>
      <c r="AJ22" s="18"/>
      <c r="AK22" s="18"/>
      <c r="AL22" s="18"/>
    </row>
    <row r="23" spans="1:42" s="21" customFormat="1" x14ac:dyDescent="0.35">
      <c r="A23" s="3"/>
      <c r="B23" s="59">
        <v>8</v>
      </c>
      <c r="C23" s="60" t="s">
        <v>128</v>
      </c>
      <c r="D23" s="50" t="s">
        <v>185</v>
      </c>
      <c r="E23" s="50"/>
      <c r="F23" s="67">
        <v>-25</v>
      </c>
      <c r="G23" s="67">
        <v>-117</v>
      </c>
      <c r="H23" s="67">
        <f t="shared" ref="H23:L23" si="12">H21-H22</f>
        <v>-71</v>
      </c>
      <c r="I23" s="67">
        <f t="shared" si="12"/>
        <v>-3</v>
      </c>
      <c r="J23" s="67">
        <f t="shared" si="12"/>
        <v>-25</v>
      </c>
      <c r="K23" s="67">
        <f t="shared" si="12"/>
        <v>-25</v>
      </c>
      <c r="L23" s="67">
        <f t="shared" si="12"/>
        <v>-55</v>
      </c>
      <c r="M23" s="67">
        <f>M21-M22</f>
        <v>-32</v>
      </c>
      <c r="N23" s="67"/>
      <c r="O23" s="67">
        <f>O21-O22</f>
        <v>22</v>
      </c>
      <c r="P23" s="68">
        <f t="shared" ref="P23:U23" si="13">P21-P22</f>
        <v>-25</v>
      </c>
      <c r="Q23" s="68">
        <f t="shared" si="13"/>
        <v>10</v>
      </c>
      <c r="R23" s="68">
        <f t="shared" si="13"/>
        <v>-25</v>
      </c>
      <c r="S23" s="68">
        <f t="shared" si="13"/>
        <v>4</v>
      </c>
      <c r="T23" s="68">
        <f t="shared" si="13"/>
        <v>-25</v>
      </c>
      <c r="U23" s="68">
        <f t="shared" si="13"/>
        <v>4</v>
      </c>
      <c r="V23" s="33"/>
      <c r="Y23" s="36">
        <f>Y14+0.035</f>
        <v>35.061</v>
      </c>
      <c r="Z23" s="36">
        <f>Y23+0.039</f>
        <v>35.1</v>
      </c>
      <c r="AA23" s="36">
        <f>Z23+0.045</f>
        <v>35.145000000000003</v>
      </c>
      <c r="AB23" s="36">
        <f>AA23+0.15</f>
        <v>35.295000000000002</v>
      </c>
      <c r="AC23" s="36">
        <f>AB23+0.17</f>
        <v>35.465000000000003</v>
      </c>
      <c r="AD23" s="36">
        <f>AC23+0.2</f>
        <v>35.665000000000006</v>
      </c>
      <c r="AE23" s="18"/>
      <c r="AF23" s="18">
        <f>Y14+0.18</f>
        <v>35.206000000000003</v>
      </c>
      <c r="AG23" s="18">
        <f>AF23+0.23</f>
        <v>35.436</v>
      </c>
      <c r="AH23" s="18">
        <f>AG23+0.3</f>
        <v>35.735999999999997</v>
      </c>
      <c r="AI23" s="18">
        <f>AH23+0.32</f>
        <v>36.055999999999997</v>
      </c>
      <c r="AJ23" s="18">
        <f t="shared" ref="AJ23:AK23" si="14">AI23+0.32</f>
        <v>36.375999999999998</v>
      </c>
      <c r="AK23" s="18">
        <f t="shared" si="14"/>
        <v>36.695999999999998</v>
      </c>
      <c r="AL23" s="18"/>
    </row>
    <row r="24" spans="1:42" s="43" customFormat="1" x14ac:dyDescent="0.35">
      <c r="B24" s="101">
        <v>2</v>
      </c>
      <c r="C24" s="103" t="s">
        <v>103</v>
      </c>
      <c r="D24" s="106"/>
      <c r="E24" s="106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8"/>
      <c r="Q24" s="108"/>
      <c r="R24" s="108"/>
      <c r="S24" s="108"/>
      <c r="T24" s="108"/>
      <c r="U24" s="108"/>
      <c r="V24" s="44"/>
    </row>
    <row r="25" spans="1:42" ht="28.5" customHeight="1" x14ac:dyDescent="0.35">
      <c r="B25" s="48">
        <f>B23+1</f>
        <v>9</v>
      </c>
      <c r="C25" s="60" t="s">
        <v>57</v>
      </c>
      <c r="D25" s="50" t="s">
        <v>42</v>
      </c>
      <c r="E25" s="8">
        <f t="shared" ref="E25:Q25" si="15">E29+E45+E85+E88</f>
        <v>231.15</v>
      </c>
      <c r="F25" s="8">
        <f t="shared" si="15"/>
        <v>299.89</v>
      </c>
      <c r="G25" s="8">
        <f t="shared" si="15"/>
        <v>321.01</v>
      </c>
      <c r="H25" s="8">
        <f t="shared" si="15"/>
        <v>360.46599999999995</v>
      </c>
      <c r="I25" s="8">
        <f t="shared" si="15"/>
        <v>311.65000000000003</v>
      </c>
      <c r="J25" s="8">
        <f>J29+J45+J85+J88</f>
        <v>257.70956999999999</v>
      </c>
      <c r="K25" s="8">
        <f>K29+K45+K85+K88</f>
        <v>243.34727999999998</v>
      </c>
      <c r="L25" s="8">
        <f>L29+L45+L85+L88</f>
        <v>264.44449199999997</v>
      </c>
      <c r="M25" s="8">
        <f>M29+M45+M85+M88</f>
        <v>320.39999999999998</v>
      </c>
      <c r="N25" s="8"/>
      <c r="O25" s="8">
        <f>O29+O45+O85+O88</f>
        <v>312.70412999999996</v>
      </c>
      <c r="P25" s="8">
        <f t="shared" si="15"/>
        <v>320.68046192999998</v>
      </c>
      <c r="Q25" s="8">
        <f t="shared" si="15"/>
        <v>327.19194299999998</v>
      </c>
      <c r="R25" s="8">
        <f t="shared" ref="R25:U25" si="16">R29+R45+R85+R88</f>
        <v>328.1074850265</v>
      </c>
      <c r="S25" s="8">
        <f t="shared" si="16"/>
        <v>341.57990301000001</v>
      </c>
      <c r="T25" s="8">
        <f t="shared" si="16"/>
        <v>335.807859277825</v>
      </c>
      <c r="U25" s="8">
        <f t="shared" si="16"/>
        <v>360.99604658070001</v>
      </c>
      <c r="Y25" s="11">
        <f>Y19*55%</f>
        <v>241.27180000000001</v>
      </c>
      <c r="Z25" s="11">
        <f t="shared" ref="Z25:AD25" si="17">Z19*55%</f>
        <v>241.30315000000002</v>
      </c>
      <c r="AA25" s="11">
        <f t="shared" si="17"/>
        <v>241.34439999999998</v>
      </c>
      <c r="AB25" s="11">
        <f>AB19*55%</f>
        <v>241.45440000000002</v>
      </c>
      <c r="AC25" s="11">
        <f t="shared" si="17"/>
        <v>241.58089999999999</v>
      </c>
      <c r="AD25" s="11">
        <f t="shared" si="17"/>
        <v>241.74039999999999</v>
      </c>
      <c r="AE25" s="11"/>
      <c r="AF25" s="11">
        <f>AF19*55%</f>
        <v>241.37080000000006</v>
      </c>
      <c r="AG25" s="11">
        <f t="shared" ref="AG25:AK25" si="18">AG19*55%</f>
        <v>241.55230000000003</v>
      </c>
      <c r="AH25" s="11">
        <f t="shared" si="18"/>
        <v>241.78330000000005</v>
      </c>
      <c r="AI25" s="11">
        <f t="shared" si="18"/>
        <v>242.03080000000003</v>
      </c>
      <c r="AJ25" s="11">
        <f t="shared" si="18"/>
        <v>242.27830000000003</v>
      </c>
      <c r="AK25" s="11">
        <f t="shared" si="18"/>
        <v>242.52580000000003</v>
      </c>
      <c r="AL25" s="11"/>
      <c r="AN25" s="11"/>
    </row>
    <row r="26" spans="1:42" ht="3" hidden="1" customHeight="1" x14ac:dyDescent="0.35">
      <c r="B26" s="48"/>
      <c r="C26" s="60"/>
      <c r="D26" s="50"/>
      <c r="E26" s="8">
        <v>102.1</v>
      </c>
      <c r="F26" s="69">
        <v>108.4</v>
      </c>
      <c r="G26" s="8">
        <v>115.1</v>
      </c>
      <c r="H26" s="70">
        <v>97.9</v>
      </c>
      <c r="I26" s="70">
        <v>98.3</v>
      </c>
      <c r="J26" s="70">
        <v>123.6</v>
      </c>
      <c r="K26" s="70">
        <v>107.4</v>
      </c>
      <c r="L26" s="70">
        <v>105.5</v>
      </c>
      <c r="M26" s="70">
        <v>110.9</v>
      </c>
      <c r="N26" s="70"/>
      <c r="O26" s="70">
        <v>106.1</v>
      </c>
      <c r="P26" s="70">
        <v>105.3</v>
      </c>
      <c r="Q26" s="70">
        <v>105.3</v>
      </c>
      <c r="R26" s="70">
        <v>104.8</v>
      </c>
      <c r="S26" s="70">
        <v>104.8</v>
      </c>
      <c r="T26" s="70">
        <v>104.2</v>
      </c>
      <c r="U26" s="70">
        <v>104.2</v>
      </c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spans="1:42" ht="37.5" x14ac:dyDescent="0.35">
      <c r="B27" s="48">
        <f>B25+1</f>
        <v>10</v>
      </c>
      <c r="C27" s="60" t="s">
        <v>43</v>
      </c>
      <c r="D27" s="50" t="s">
        <v>11</v>
      </c>
      <c r="E27" s="8">
        <v>86.9</v>
      </c>
      <c r="F27" s="8">
        <f>F25/E25/F26*10000</f>
        <v>119.68474649055381</v>
      </c>
      <c r="G27" s="8">
        <f>G25/F25/G26*10000</f>
        <v>92.999637080946485</v>
      </c>
      <c r="H27" s="8">
        <f>H25/G25/H26*10000</f>
        <v>114.69990386255026</v>
      </c>
      <c r="I27" s="8">
        <v>103.4</v>
      </c>
      <c r="J27" s="8">
        <f>J25/I25/J26*10000</f>
        <v>66.902900160280609</v>
      </c>
      <c r="K27" s="8">
        <f>K25/J25/K26*10000</f>
        <v>87.920807595748471</v>
      </c>
      <c r="L27" s="8">
        <f>L25/K25/L26*10000</f>
        <v>103.00435092429393</v>
      </c>
      <c r="M27" s="8">
        <f>M25/L25/M26*10000</f>
        <v>109.25125525443968</v>
      </c>
      <c r="N27" s="8"/>
      <c r="O27" s="8">
        <f>O25/M25/O26*10000</f>
        <v>91.986845495910501</v>
      </c>
      <c r="P27" s="41">
        <f>P25/O25/P26*10000</f>
        <v>97.389135821787804</v>
      </c>
      <c r="Q27" s="41">
        <f>Q25/O25/Q26*10000</f>
        <v>99.36664174937269</v>
      </c>
      <c r="R27" s="41">
        <f>R25/P25/R26*10000</f>
        <v>97.629789916284054</v>
      </c>
      <c r="S27" s="41">
        <f>S25/Q25/S26*10000</f>
        <v>99.615845967242208</v>
      </c>
      <c r="T27" s="41">
        <f>T25/R25/T26*10000</f>
        <v>98.22159884801431</v>
      </c>
      <c r="U27" s="41">
        <f>U25/S25/U26*10000</f>
        <v>101.42439269848467</v>
      </c>
      <c r="Y27" s="7">
        <f>Y19*21%</f>
        <v>92.121959999999987</v>
      </c>
      <c r="Z27" s="7">
        <f t="shared" ref="Z27:AD27" si="19">Z19*21%</f>
        <v>92.133929999999992</v>
      </c>
      <c r="AA27" s="7">
        <f t="shared" si="19"/>
        <v>92.149679999999989</v>
      </c>
      <c r="AB27" s="7">
        <f t="shared" si="19"/>
        <v>92.191679999999991</v>
      </c>
      <c r="AC27" s="7">
        <f t="shared" si="19"/>
        <v>92.239979999999989</v>
      </c>
      <c r="AD27" s="7">
        <f t="shared" si="19"/>
        <v>92.300879999999992</v>
      </c>
      <c r="AF27" s="7">
        <f>AF19*21%</f>
        <v>92.159760000000006</v>
      </c>
      <c r="AG27" s="7">
        <f t="shared" ref="AG27:AK27" si="20">AG19*21%</f>
        <v>92.229060000000004</v>
      </c>
      <c r="AH27" s="7">
        <f t="shared" si="20"/>
        <v>92.317260000000005</v>
      </c>
      <c r="AI27" s="7">
        <f t="shared" si="20"/>
        <v>92.411760000000001</v>
      </c>
      <c r="AJ27" s="7">
        <f t="shared" si="20"/>
        <v>92.506259999999997</v>
      </c>
      <c r="AK27" s="7">
        <f t="shared" si="20"/>
        <v>92.600759999999994</v>
      </c>
      <c r="AL27" s="7"/>
    </row>
    <row r="28" spans="1:42" ht="37.5" x14ac:dyDescent="0.35">
      <c r="B28" s="48">
        <f t="shared" ref="B28:B80" si="21">B27+1</f>
        <v>11</v>
      </c>
      <c r="C28" s="71" t="s">
        <v>105</v>
      </c>
      <c r="D28" s="50" t="s">
        <v>11</v>
      </c>
      <c r="E28" s="8">
        <v>108.6</v>
      </c>
      <c r="F28" s="8">
        <f>F29/E29/F30*10000</f>
        <v>67.659518848558022</v>
      </c>
      <c r="G28" s="8">
        <f t="shared" ref="G28" si="22">G29/F29/G30*10000</f>
        <v>80.381016042780743</v>
      </c>
      <c r="H28" s="8">
        <f t="shared" ref="H28:J28" si="23">H29/G29/H30*10000</f>
        <v>122.42086390382984</v>
      </c>
      <c r="I28" s="8">
        <f t="shared" si="23"/>
        <v>140.07978869045004</v>
      </c>
      <c r="J28" s="8">
        <f t="shared" si="23"/>
        <v>72.376449266298067</v>
      </c>
      <c r="K28" s="8">
        <f>K29/J29/K30*10000</f>
        <v>78.425080649979705</v>
      </c>
      <c r="L28" s="8">
        <f>L29/K29/L30*10000</f>
        <v>143.00535569077198</v>
      </c>
      <c r="M28" s="8">
        <f>M29/L29/M30*10000</f>
        <v>53.460687486753002</v>
      </c>
      <c r="N28" s="8"/>
      <c r="O28" s="8">
        <f>O29/M29/O30*10000</f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</row>
    <row r="29" spans="1:42" ht="90" customHeight="1" x14ac:dyDescent="0.35">
      <c r="B29" s="48">
        <f t="shared" si="21"/>
        <v>12</v>
      </c>
      <c r="C29" s="71" t="s">
        <v>132</v>
      </c>
      <c r="D29" s="50" t="s">
        <v>42</v>
      </c>
      <c r="E29" s="8">
        <f t="shared" ref="E29:P29" si="24">E32+E35+E38+E41</f>
        <v>18.079999999999998</v>
      </c>
      <c r="F29" s="8">
        <f t="shared" si="24"/>
        <v>14.08</v>
      </c>
      <c r="G29" s="41">
        <f t="shared" si="24"/>
        <v>14.43</v>
      </c>
      <c r="H29" s="41">
        <f t="shared" si="24"/>
        <v>17.63</v>
      </c>
      <c r="I29" s="41">
        <f t="shared" si="24"/>
        <v>20.72</v>
      </c>
      <c r="J29" s="41">
        <f>J38</f>
        <v>20.83</v>
      </c>
      <c r="K29" s="41">
        <f>K32+K35+K38+K41</f>
        <v>18.77</v>
      </c>
      <c r="L29" s="131">
        <f>L32+L35+L38+L41</f>
        <v>28.05</v>
      </c>
      <c r="M29" s="131">
        <f>M38</f>
        <v>17.53</v>
      </c>
      <c r="N29" s="131"/>
      <c r="O29" s="131">
        <f>O38</f>
        <v>0</v>
      </c>
      <c r="P29" s="131">
        <f t="shared" si="24"/>
        <v>0</v>
      </c>
      <c r="Q29" s="131">
        <f t="shared" ref="Q29:U29" si="25">Q32+Q35+Q38+Q41</f>
        <v>0</v>
      </c>
      <c r="R29" s="131">
        <f>R32+R35+R38+R41</f>
        <v>0</v>
      </c>
      <c r="S29" s="131">
        <f t="shared" si="25"/>
        <v>0</v>
      </c>
      <c r="T29" s="131">
        <f>T32+T35+T38+T41</f>
        <v>0</v>
      </c>
      <c r="U29" s="131">
        <f t="shared" si="25"/>
        <v>0</v>
      </c>
      <c r="AN29" s="7"/>
      <c r="AP29" s="7"/>
    </row>
    <row r="30" spans="1:42" ht="43.5" customHeight="1" x14ac:dyDescent="0.35">
      <c r="B30" s="48">
        <f t="shared" si="21"/>
        <v>13</v>
      </c>
      <c r="C30" s="71" t="s">
        <v>169</v>
      </c>
      <c r="D30" s="50" t="s">
        <v>33</v>
      </c>
      <c r="E30" s="8">
        <v>102.1</v>
      </c>
      <c r="F30" s="8">
        <v>115.1</v>
      </c>
      <c r="G30" s="72">
        <v>127.5</v>
      </c>
      <c r="H30" s="41">
        <v>99.8</v>
      </c>
      <c r="I30" s="51">
        <v>83.9</v>
      </c>
      <c r="J30" s="51">
        <v>138.9</v>
      </c>
      <c r="K30" s="51">
        <v>114.9</v>
      </c>
      <c r="L30" s="51">
        <v>104.5</v>
      </c>
      <c r="M30" s="51">
        <v>116.9</v>
      </c>
      <c r="N30" s="51"/>
      <c r="O30" s="51">
        <v>104.8</v>
      </c>
      <c r="P30" s="72">
        <v>104.8</v>
      </c>
      <c r="Q30" s="72">
        <v>104.8</v>
      </c>
      <c r="R30" s="72">
        <v>104.3</v>
      </c>
      <c r="S30" s="72">
        <v>104.3</v>
      </c>
      <c r="T30" s="72">
        <v>104.2</v>
      </c>
      <c r="U30" s="72">
        <v>104.2</v>
      </c>
      <c r="AN30" s="7"/>
      <c r="AP30" s="7"/>
    </row>
    <row r="31" spans="1:42" ht="0.75" hidden="1" customHeight="1" x14ac:dyDescent="0.35">
      <c r="B31" s="48">
        <f t="shared" si="21"/>
        <v>14</v>
      </c>
      <c r="C31" s="60" t="s">
        <v>58</v>
      </c>
      <c r="D31" s="50" t="s">
        <v>11</v>
      </c>
      <c r="E31" s="8"/>
      <c r="F31" s="8"/>
      <c r="G31" s="41"/>
      <c r="H31" s="41"/>
      <c r="I31" s="73"/>
      <c r="J31" s="73"/>
      <c r="K31" s="73"/>
      <c r="L31" s="73"/>
      <c r="M31" s="73"/>
      <c r="N31" s="73"/>
      <c r="O31" s="73"/>
      <c r="P31" s="41"/>
      <c r="Q31" s="41"/>
      <c r="R31" s="41"/>
      <c r="S31" s="41"/>
      <c r="T31" s="41"/>
      <c r="U31" s="41"/>
      <c r="AN31" s="7"/>
      <c r="AP31" s="7"/>
    </row>
    <row r="32" spans="1:42" ht="53.25" hidden="1" customHeight="1" x14ac:dyDescent="0.35">
      <c r="B32" s="48">
        <f t="shared" si="21"/>
        <v>15</v>
      </c>
      <c r="C32" s="60" t="s">
        <v>131</v>
      </c>
      <c r="D32" s="50" t="s">
        <v>42</v>
      </c>
      <c r="E32" s="8"/>
      <c r="F32" s="8"/>
      <c r="G32" s="41"/>
      <c r="H32" s="41"/>
      <c r="I32" s="73"/>
      <c r="J32" s="73"/>
      <c r="K32" s="73"/>
      <c r="L32" s="73"/>
      <c r="M32" s="73"/>
      <c r="N32" s="73"/>
      <c r="O32" s="73"/>
      <c r="P32" s="41"/>
      <c r="Q32" s="41"/>
      <c r="R32" s="41"/>
      <c r="S32" s="41"/>
      <c r="T32" s="41"/>
      <c r="U32" s="41"/>
      <c r="AN32" s="7"/>
      <c r="AP32" s="7"/>
    </row>
    <row r="33" spans="2:42" hidden="1" x14ac:dyDescent="0.35">
      <c r="B33" s="48">
        <f t="shared" si="21"/>
        <v>16</v>
      </c>
      <c r="C33" s="60" t="s">
        <v>130</v>
      </c>
      <c r="D33" s="50" t="s">
        <v>33</v>
      </c>
      <c r="E33" s="8"/>
      <c r="F33" s="8"/>
      <c r="G33" s="41"/>
      <c r="H33" s="41"/>
      <c r="I33" s="73"/>
      <c r="J33" s="73"/>
      <c r="K33" s="73"/>
      <c r="L33" s="73"/>
      <c r="M33" s="73"/>
      <c r="N33" s="73"/>
      <c r="O33" s="73"/>
      <c r="P33" s="41"/>
      <c r="Q33" s="41"/>
      <c r="R33" s="41"/>
      <c r="S33" s="41"/>
      <c r="T33" s="41"/>
      <c r="U33" s="41"/>
      <c r="AN33" s="7"/>
      <c r="AP33" s="7"/>
    </row>
    <row r="34" spans="2:42" ht="37.5" hidden="1" x14ac:dyDescent="0.35">
      <c r="B34" s="48">
        <f t="shared" si="21"/>
        <v>17</v>
      </c>
      <c r="C34" s="60" t="s">
        <v>59</v>
      </c>
      <c r="D34" s="50" t="s">
        <v>11</v>
      </c>
      <c r="E34" s="8"/>
      <c r="F34" s="8"/>
      <c r="G34" s="41"/>
      <c r="H34" s="41"/>
      <c r="I34" s="73"/>
      <c r="J34" s="73"/>
      <c r="K34" s="73"/>
      <c r="L34" s="73"/>
      <c r="M34" s="73"/>
      <c r="N34" s="73"/>
      <c r="O34" s="73"/>
      <c r="P34" s="41"/>
      <c r="Q34" s="41"/>
      <c r="R34" s="41"/>
      <c r="S34" s="41"/>
      <c r="T34" s="41"/>
      <c r="U34" s="41"/>
      <c r="AN34" s="7"/>
      <c r="AP34" s="7"/>
    </row>
    <row r="35" spans="2:42" ht="56.25" hidden="1" x14ac:dyDescent="0.35">
      <c r="B35" s="48">
        <f t="shared" si="21"/>
        <v>18</v>
      </c>
      <c r="C35" s="60" t="s">
        <v>133</v>
      </c>
      <c r="D35" s="50" t="s">
        <v>42</v>
      </c>
      <c r="E35" s="8"/>
      <c r="F35" s="8"/>
      <c r="G35" s="41"/>
      <c r="H35" s="41"/>
      <c r="I35" s="73"/>
      <c r="J35" s="73"/>
      <c r="K35" s="73"/>
      <c r="L35" s="73"/>
      <c r="M35" s="73"/>
      <c r="N35" s="73"/>
      <c r="O35" s="73"/>
      <c r="P35" s="74"/>
      <c r="Q35" s="41"/>
      <c r="R35" s="74"/>
      <c r="S35" s="41"/>
      <c r="T35" s="74"/>
      <c r="U35" s="41"/>
      <c r="AN35" s="7"/>
      <c r="AP35" s="7"/>
    </row>
    <row r="36" spans="2:42" ht="37.5" hidden="1" x14ac:dyDescent="0.35">
      <c r="B36" s="48">
        <f t="shared" si="21"/>
        <v>19</v>
      </c>
      <c r="C36" s="60" t="s">
        <v>134</v>
      </c>
      <c r="D36" s="50" t="s">
        <v>33</v>
      </c>
      <c r="E36" s="8"/>
      <c r="F36" s="8"/>
      <c r="G36" s="41"/>
      <c r="H36" s="41"/>
      <c r="I36" s="73"/>
      <c r="J36" s="73"/>
      <c r="K36" s="73"/>
      <c r="L36" s="73"/>
      <c r="M36" s="73"/>
      <c r="N36" s="73"/>
      <c r="O36" s="73"/>
      <c r="P36" s="41"/>
      <c r="Q36" s="41"/>
      <c r="R36" s="41"/>
      <c r="S36" s="41"/>
      <c r="T36" s="41"/>
      <c r="U36" s="41"/>
      <c r="AN36" s="7"/>
      <c r="AP36" s="7"/>
    </row>
    <row r="37" spans="2:42" ht="37.5" x14ac:dyDescent="0.2">
      <c r="B37" s="48">
        <v>14</v>
      </c>
      <c r="C37" s="60" t="s">
        <v>60</v>
      </c>
      <c r="D37" s="50" t="s">
        <v>11</v>
      </c>
      <c r="E37" s="8">
        <v>91.5</v>
      </c>
      <c r="F37" s="8">
        <f t="shared" ref="F37:I37" si="26">F38/E38/F39*10000</f>
        <v>99.205230821261495</v>
      </c>
      <c r="G37" s="41">
        <f t="shared" si="26"/>
        <v>101.9759158751696</v>
      </c>
      <c r="H37" s="41">
        <f t="shared" si="26"/>
        <v>113.75793498698526</v>
      </c>
      <c r="I37" s="41">
        <f t="shared" si="26"/>
        <v>140.07978869045004</v>
      </c>
      <c r="J37" s="41">
        <f>J38/I38/J39*10000</f>
        <v>72.376449266298067</v>
      </c>
      <c r="K37" s="41">
        <f>K38/J38/K39*10000</f>
        <v>78.425080649979705</v>
      </c>
      <c r="L37" s="41">
        <f>L38/K38/L39*10000</f>
        <v>143.00535569077198</v>
      </c>
      <c r="M37" s="41">
        <f>M38/L38/M39*10000</f>
        <v>53.460687486753002</v>
      </c>
      <c r="N37" s="41"/>
      <c r="O37" s="41">
        <f>O38/M38/O39*10000</f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 t="e">
        <f t="shared" ref="V37:AK37" si="27">V38/U38/V39*10000</f>
        <v>#DIV/0!</v>
      </c>
      <c r="W37" s="41" t="e">
        <f t="shared" si="27"/>
        <v>#DIV/0!</v>
      </c>
      <c r="X37" s="41" t="e">
        <f t="shared" si="27"/>
        <v>#DIV/0!</v>
      </c>
      <c r="Y37" s="41" t="e">
        <f t="shared" si="27"/>
        <v>#DIV/0!</v>
      </c>
      <c r="Z37" s="41" t="e">
        <f t="shared" si="27"/>
        <v>#DIV/0!</v>
      </c>
      <c r="AA37" s="41" t="e">
        <f t="shared" si="27"/>
        <v>#DIV/0!</v>
      </c>
      <c r="AB37" s="41" t="e">
        <f t="shared" si="27"/>
        <v>#DIV/0!</v>
      </c>
      <c r="AC37" s="41" t="e">
        <f t="shared" si="27"/>
        <v>#DIV/0!</v>
      </c>
      <c r="AD37" s="41" t="e">
        <f t="shared" si="27"/>
        <v>#DIV/0!</v>
      </c>
      <c r="AE37" s="41" t="e">
        <f t="shared" si="27"/>
        <v>#DIV/0!</v>
      </c>
      <c r="AF37" s="41" t="e">
        <f t="shared" si="27"/>
        <v>#DIV/0!</v>
      </c>
      <c r="AG37" s="41" t="e">
        <f t="shared" si="27"/>
        <v>#DIV/0!</v>
      </c>
      <c r="AH37" s="41" t="e">
        <f t="shared" si="27"/>
        <v>#DIV/0!</v>
      </c>
      <c r="AI37" s="41" t="e">
        <f t="shared" si="27"/>
        <v>#DIV/0!</v>
      </c>
      <c r="AJ37" s="41" t="e">
        <f t="shared" si="27"/>
        <v>#DIV/0!</v>
      </c>
      <c r="AK37" s="41" t="e">
        <f t="shared" si="27"/>
        <v>#DIV/0!</v>
      </c>
      <c r="AL37" s="41"/>
      <c r="AN37" s="7"/>
      <c r="AP37" s="7"/>
    </row>
    <row r="38" spans="2:42" ht="74.25" customHeight="1" x14ac:dyDescent="0.35">
      <c r="B38" s="48">
        <f t="shared" si="21"/>
        <v>15</v>
      </c>
      <c r="C38" s="60" t="s">
        <v>135</v>
      </c>
      <c r="D38" s="50" t="s">
        <v>42</v>
      </c>
      <c r="E38" s="8">
        <v>18.079999999999998</v>
      </c>
      <c r="F38" s="8">
        <v>14.08</v>
      </c>
      <c r="G38" s="41">
        <v>14.43</v>
      </c>
      <c r="H38" s="74">
        <v>17.63</v>
      </c>
      <c r="I38" s="74">
        <v>20.72</v>
      </c>
      <c r="J38" s="74">
        <v>20.83</v>
      </c>
      <c r="K38" s="74">
        <v>18.77</v>
      </c>
      <c r="L38" s="74">
        <v>28.05</v>
      </c>
      <c r="M38" s="74">
        <v>17.53</v>
      </c>
      <c r="N38" s="74"/>
      <c r="O38" s="74">
        <v>0</v>
      </c>
      <c r="P38" s="74">
        <v>0</v>
      </c>
      <c r="Q38" s="74">
        <v>0</v>
      </c>
      <c r="R38" s="74">
        <v>0</v>
      </c>
      <c r="S38" s="74">
        <v>0</v>
      </c>
      <c r="T38" s="74">
        <v>0</v>
      </c>
      <c r="U38" s="74">
        <v>0</v>
      </c>
      <c r="AN38" s="7"/>
      <c r="AP38" s="7"/>
    </row>
    <row r="39" spans="2:42" ht="41.25" customHeight="1" x14ac:dyDescent="0.35">
      <c r="B39" s="48">
        <f t="shared" si="21"/>
        <v>16</v>
      </c>
      <c r="C39" s="60" t="s">
        <v>136</v>
      </c>
      <c r="D39" s="50" t="s">
        <v>33</v>
      </c>
      <c r="E39" s="8">
        <v>121.2</v>
      </c>
      <c r="F39" s="69">
        <v>78.5</v>
      </c>
      <c r="G39" s="8">
        <v>100.5</v>
      </c>
      <c r="H39" s="72">
        <v>107.4</v>
      </c>
      <c r="I39" s="72">
        <v>83.9</v>
      </c>
      <c r="J39" s="72">
        <v>138.9</v>
      </c>
      <c r="K39" s="72">
        <v>114.9</v>
      </c>
      <c r="L39" s="72">
        <v>104.5</v>
      </c>
      <c r="M39" s="72">
        <v>116.9</v>
      </c>
      <c r="N39" s="72"/>
      <c r="O39" s="72">
        <v>104.8</v>
      </c>
      <c r="P39" s="72">
        <v>104.8</v>
      </c>
      <c r="Q39" s="72">
        <v>104.8</v>
      </c>
      <c r="R39" s="72">
        <v>104.3</v>
      </c>
      <c r="S39" s="72">
        <v>104.3</v>
      </c>
      <c r="T39" s="72">
        <v>104.2</v>
      </c>
      <c r="U39" s="41">
        <v>104.2</v>
      </c>
      <c r="AN39" s="7"/>
      <c r="AP39" s="7"/>
    </row>
    <row r="40" spans="2:42" ht="0.75" hidden="1" customHeight="1" x14ac:dyDescent="0.35">
      <c r="B40" s="48">
        <f t="shared" si="21"/>
        <v>17</v>
      </c>
      <c r="C40" s="60" t="s">
        <v>61</v>
      </c>
      <c r="D40" s="50" t="s">
        <v>11</v>
      </c>
      <c r="E40" s="8"/>
      <c r="F40" s="8"/>
      <c r="G40" s="41"/>
      <c r="H40" s="41"/>
      <c r="I40" s="73"/>
      <c r="J40" s="73"/>
      <c r="K40" s="73"/>
      <c r="L40" s="73"/>
      <c r="M40" s="73"/>
      <c r="N40" s="73"/>
      <c r="O40" s="73"/>
      <c r="P40" s="41"/>
      <c r="Q40" s="41"/>
      <c r="R40" s="41"/>
      <c r="S40" s="41"/>
      <c r="T40" s="41"/>
      <c r="U40" s="41"/>
      <c r="AN40" s="7"/>
      <c r="AP40" s="7"/>
    </row>
    <row r="41" spans="2:42" ht="54.75" hidden="1" customHeight="1" x14ac:dyDescent="0.35">
      <c r="B41" s="48">
        <f t="shared" si="21"/>
        <v>18</v>
      </c>
      <c r="C41" s="60" t="s">
        <v>137</v>
      </c>
      <c r="D41" s="50" t="s">
        <v>42</v>
      </c>
      <c r="E41" s="8"/>
      <c r="F41" s="8"/>
      <c r="G41" s="41"/>
      <c r="H41" s="41"/>
      <c r="I41" s="73"/>
      <c r="J41" s="73"/>
      <c r="K41" s="73"/>
      <c r="L41" s="73"/>
      <c r="M41" s="73"/>
      <c r="N41" s="73"/>
      <c r="O41" s="73"/>
      <c r="P41" s="41"/>
      <c r="Q41" s="41"/>
      <c r="R41" s="75"/>
      <c r="S41" s="41"/>
      <c r="T41" s="75"/>
      <c r="U41" s="41"/>
      <c r="AN41" s="7"/>
      <c r="AP41" s="7"/>
    </row>
    <row r="42" spans="2:42" ht="37.5" hidden="1" x14ac:dyDescent="0.35">
      <c r="B42" s="48">
        <f t="shared" si="21"/>
        <v>19</v>
      </c>
      <c r="C42" s="60" t="s">
        <v>138</v>
      </c>
      <c r="D42" s="50" t="s">
        <v>33</v>
      </c>
      <c r="E42" s="8"/>
      <c r="F42" s="8"/>
      <c r="G42" s="41"/>
      <c r="H42" s="41"/>
      <c r="I42" s="73"/>
      <c r="J42" s="73"/>
      <c r="K42" s="73"/>
      <c r="L42" s="73"/>
      <c r="M42" s="73"/>
      <c r="N42" s="73"/>
      <c r="O42" s="73"/>
      <c r="P42" s="41"/>
      <c r="Q42" s="41"/>
      <c r="R42" s="41"/>
      <c r="S42" s="41"/>
      <c r="T42" s="41"/>
      <c r="U42" s="41"/>
      <c r="AN42" s="7"/>
      <c r="AP42" s="7"/>
    </row>
    <row r="43" spans="2:42" ht="7.5" hidden="1" customHeight="1" x14ac:dyDescent="0.35">
      <c r="B43" s="48"/>
      <c r="C43" s="60"/>
      <c r="D43" s="50"/>
      <c r="E43" s="8"/>
      <c r="F43" s="8"/>
      <c r="G43" s="41"/>
      <c r="H43" s="41"/>
      <c r="I43" s="73"/>
      <c r="J43" s="73"/>
      <c r="K43" s="73"/>
      <c r="L43" s="73"/>
      <c r="M43" s="73"/>
      <c r="N43" s="73"/>
      <c r="O43" s="73"/>
      <c r="P43" s="41">
        <f>P38/G38*100</f>
        <v>0</v>
      </c>
      <c r="Q43" s="41">
        <f>Q38/G38*100</f>
        <v>0</v>
      </c>
      <c r="R43" s="41" t="e">
        <f>R38/P38*100</f>
        <v>#DIV/0!</v>
      </c>
      <c r="S43" s="41" t="e">
        <f t="shared" ref="S43:T43" si="28">S38/Q38*100</f>
        <v>#DIV/0!</v>
      </c>
      <c r="T43" s="41" t="e">
        <f t="shared" si="28"/>
        <v>#DIV/0!</v>
      </c>
      <c r="U43" s="41" t="e">
        <f>U38/S38*100</f>
        <v>#DIV/0!</v>
      </c>
      <c r="W43" s="7"/>
      <c r="AN43" s="7"/>
      <c r="AP43" s="7"/>
    </row>
    <row r="44" spans="2:42" ht="37.5" x14ac:dyDescent="0.35">
      <c r="B44" s="48">
        <v>16</v>
      </c>
      <c r="C44" s="71" t="s">
        <v>62</v>
      </c>
      <c r="D44" s="50" t="s">
        <v>11</v>
      </c>
      <c r="E44" s="8">
        <v>80.900000000000006</v>
      </c>
      <c r="F44" s="8">
        <f t="shared" ref="F44:I44" si="29">F45/E45/F46*10000</f>
        <v>134.63696719559056</v>
      </c>
      <c r="G44" s="41">
        <f t="shared" si="29"/>
        <v>97.409894790936917</v>
      </c>
      <c r="H44" s="41">
        <f t="shared" si="29"/>
        <v>116.94517973691123</v>
      </c>
      <c r="I44" s="41">
        <f t="shared" si="29"/>
        <v>82.108758728353394</v>
      </c>
      <c r="J44" s="41">
        <f>J45/I45/J46*10000</f>
        <v>57.64163633021046</v>
      </c>
      <c r="K44" s="41">
        <f>K45/J45/K46*10000</f>
        <v>86.320275114428597</v>
      </c>
      <c r="L44" s="41">
        <f>L45/K45/L46*10000</f>
        <v>100.75596215802581</v>
      </c>
      <c r="M44" s="41">
        <f>M45/L45/M46*10000</f>
        <v>126.54810717028629</v>
      </c>
      <c r="N44" s="41"/>
      <c r="O44" s="41">
        <f>O45/M45/O46*10000</f>
        <v>95.10610422367003</v>
      </c>
      <c r="P44" s="41">
        <f>P45/O45/P46*10000</f>
        <v>96.278277217056143</v>
      </c>
      <c r="Q44" s="41">
        <f>Q45/O45/Q46*10000</f>
        <v>97.458350054832209</v>
      </c>
      <c r="R44" s="41">
        <f>R45/P45/R46*10000</f>
        <v>96.653650641713597</v>
      </c>
      <c r="S44" s="41">
        <f>S45/Q45/S46*10000</f>
        <v>98.654018370806668</v>
      </c>
      <c r="T44" s="41">
        <f>T45/R45/T46*10000</f>
        <v>96.926776534957085</v>
      </c>
      <c r="U44" s="41">
        <f>U45/S45/U46*10000</f>
        <v>100.76775431861803</v>
      </c>
      <c r="AN44" s="7"/>
      <c r="AP44" s="7"/>
    </row>
    <row r="45" spans="2:42" ht="67.5" customHeight="1" x14ac:dyDescent="0.35">
      <c r="B45" s="48">
        <f t="shared" si="21"/>
        <v>17</v>
      </c>
      <c r="C45" s="60" t="s">
        <v>139</v>
      </c>
      <c r="D45" s="76" t="s">
        <v>42</v>
      </c>
      <c r="E45" s="8">
        <f t="shared" ref="E45:J45" si="30">E48+E64+E82</f>
        <v>161.97</v>
      </c>
      <c r="F45" s="8">
        <f t="shared" si="30"/>
        <v>231.81</v>
      </c>
      <c r="G45" s="41">
        <f t="shared" si="30"/>
        <v>253.57999999999998</v>
      </c>
      <c r="H45" s="41">
        <f t="shared" si="30"/>
        <v>287.05999999999995</v>
      </c>
      <c r="I45" s="41">
        <f t="shared" si="30"/>
        <v>235.23000000000002</v>
      </c>
      <c r="J45" s="41">
        <f t="shared" si="30"/>
        <v>164.2</v>
      </c>
      <c r="K45" s="41">
        <f>K48+K64+K82</f>
        <v>149.25</v>
      </c>
      <c r="L45" s="41">
        <f>L48+L64+L82</f>
        <v>155.04</v>
      </c>
      <c r="M45" s="41">
        <f>M48+M64+M82</f>
        <v>211.7</v>
      </c>
      <c r="N45" s="41"/>
      <c r="O45" s="41">
        <f>O48+O82</f>
        <v>213.42</v>
      </c>
      <c r="P45" s="41">
        <f t="shared" ref="P45:S45" si="31">P48+P64+P82</f>
        <v>215.34</v>
      </c>
      <c r="Q45" s="41">
        <f>Q48+Q64+Q82</f>
        <v>217.9794</v>
      </c>
      <c r="R45" s="41">
        <f t="shared" si="31"/>
        <v>217.5</v>
      </c>
      <c r="S45" s="41">
        <f t="shared" si="31"/>
        <v>224.72248200000001</v>
      </c>
      <c r="T45" s="41">
        <f>T48+T64+T82</f>
        <v>219.67000000000002</v>
      </c>
      <c r="U45" s="41">
        <f>U48+U64+U82</f>
        <v>235.9586061</v>
      </c>
      <c r="AN45" s="7"/>
      <c r="AP45" s="7"/>
    </row>
    <row r="46" spans="2:42" ht="36" customHeight="1" x14ac:dyDescent="0.35">
      <c r="B46" s="48">
        <f t="shared" si="21"/>
        <v>18</v>
      </c>
      <c r="C46" s="60" t="s">
        <v>140</v>
      </c>
      <c r="D46" s="76" t="s">
        <v>33</v>
      </c>
      <c r="E46" s="8">
        <v>102.2</v>
      </c>
      <c r="F46" s="8">
        <v>106.3</v>
      </c>
      <c r="G46" s="72">
        <v>112.3</v>
      </c>
      <c r="H46" s="72">
        <v>96.8</v>
      </c>
      <c r="I46" s="59">
        <v>99.8</v>
      </c>
      <c r="J46" s="59">
        <v>121.1</v>
      </c>
      <c r="K46" s="59">
        <v>105.3</v>
      </c>
      <c r="L46" s="59">
        <v>103.1</v>
      </c>
      <c r="M46" s="59">
        <v>107.9</v>
      </c>
      <c r="N46" s="59"/>
      <c r="O46" s="59">
        <v>106</v>
      </c>
      <c r="P46" s="72">
        <v>104.8</v>
      </c>
      <c r="Q46" s="41">
        <v>104.8</v>
      </c>
      <c r="R46" s="72">
        <v>104.5</v>
      </c>
      <c r="S46" s="72">
        <v>104.5</v>
      </c>
      <c r="T46" s="72">
        <v>104.2</v>
      </c>
      <c r="U46" s="72">
        <v>104.2</v>
      </c>
      <c r="AN46" s="7"/>
      <c r="AP46" s="7"/>
    </row>
    <row r="47" spans="2:42" ht="36" customHeight="1" x14ac:dyDescent="0.35">
      <c r="B47" s="48">
        <f t="shared" si="21"/>
        <v>19</v>
      </c>
      <c r="C47" s="60" t="s">
        <v>63</v>
      </c>
      <c r="D47" s="50" t="s">
        <v>11</v>
      </c>
      <c r="E47" s="8">
        <v>79.7</v>
      </c>
      <c r="F47" s="8">
        <f>F48/E48/F49*10000</f>
        <v>131.61722745023442</v>
      </c>
      <c r="G47" s="41">
        <f>G48/F48/G49*10000</f>
        <v>113.9432238994861</v>
      </c>
      <c r="H47" s="41">
        <f t="shared" ref="H47" si="32">H48/G48/H49*10000</f>
        <v>78.721997849899751</v>
      </c>
      <c r="I47" s="41">
        <f>I48/H48/I49*10000</f>
        <v>49.926626270502666</v>
      </c>
      <c r="J47" s="41">
        <f>J48/I48/J49*10000</f>
        <v>71.734232300627482</v>
      </c>
      <c r="K47" s="41">
        <f>K48/J48/K49*10000</f>
        <v>78.556825925645484</v>
      </c>
      <c r="L47" s="41">
        <f>L48/K48/L49*10000</f>
        <v>300.03848890236645</v>
      </c>
      <c r="M47" s="41">
        <f>M48/L48/M49*10000</f>
        <v>83.672162010223687</v>
      </c>
      <c r="N47" s="41"/>
      <c r="O47" s="41">
        <f>O48/M48/O49*10000</f>
        <v>91.939642098877769</v>
      </c>
      <c r="P47" s="41">
        <f>P48/O48/P49*10000</f>
        <v>96.489326053103639</v>
      </c>
      <c r="Q47" s="41">
        <f>Q48/O48/Q49*10000</f>
        <v>100.38240917782028</v>
      </c>
      <c r="R47" s="41">
        <f>R48/P48/R49*10000</f>
        <v>96.856615972821402</v>
      </c>
      <c r="S47" s="41">
        <f>S48/Q48/S49*10000</f>
        <v>100.67114093959732</v>
      </c>
      <c r="T47" s="41">
        <f>T48/R48/T49*10000</f>
        <v>96.939656761807896</v>
      </c>
      <c r="U47" s="41">
        <f>U48/S48/U49*10000</f>
        <v>100.76775431861805</v>
      </c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N47" s="7"/>
      <c r="AP47" s="7"/>
    </row>
    <row r="48" spans="2:42" ht="77.25" customHeight="1" x14ac:dyDescent="0.35">
      <c r="B48" s="48">
        <f t="shared" si="21"/>
        <v>20</v>
      </c>
      <c r="C48" s="60" t="s">
        <v>141</v>
      </c>
      <c r="D48" s="76" t="s">
        <v>42</v>
      </c>
      <c r="E48" s="8">
        <v>7.51</v>
      </c>
      <c r="F48" s="8">
        <v>9.41</v>
      </c>
      <c r="G48" s="41">
        <v>10.84</v>
      </c>
      <c r="H48" s="41">
        <f>4.47+2.6+1.6</f>
        <v>8.67</v>
      </c>
      <c r="I48" s="51">
        <f>1.42+3.19</f>
        <v>4.6099999999999994</v>
      </c>
      <c r="J48" s="51">
        <v>3.76</v>
      </c>
      <c r="K48" s="51">
        <v>3.32</v>
      </c>
      <c r="L48" s="51">
        <v>10.29</v>
      </c>
      <c r="M48" s="51">
        <v>9.6</v>
      </c>
      <c r="N48" s="51"/>
      <c r="O48" s="51">
        <v>9.6999999999999993</v>
      </c>
      <c r="P48" s="51">
        <v>9.7899999999999991</v>
      </c>
      <c r="Q48" s="41">
        <f>O48*105%</f>
        <v>10.185</v>
      </c>
      <c r="R48" s="41">
        <v>9.89</v>
      </c>
      <c r="S48" s="41">
        <f>Q48*105%</f>
        <v>10.69425</v>
      </c>
      <c r="T48" s="41">
        <v>9.99</v>
      </c>
      <c r="U48" s="41">
        <f>S48*105%</f>
        <v>11.228962500000002</v>
      </c>
      <c r="AN48" s="7"/>
      <c r="AP48" s="7"/>
    </row>
    <row r="49" spans="2:42" ht="37.5" customHeight="1" x14ac:dyDescent="0.35">
      <c r="B49" s="48">
        <f t="shared" si="21"/>
        <v>21</v>
      </c>
      <c r="C49" s="60" t="s">
        <v>142</v>
      </c>
      <c r="D49" s="76" t="s">
        <v>33</v>
      </c>
      <c r="E49" s="8">
        <v>104</v>
      </c>
      <c r="F49" s="8">
        <v>95.2</v>
      </c>
      <c r="G49" s="72">
        <v>101.1</v>
      </c>
      <c r="H49" s="72">
        <v>101.6</v>
      </c>
      <c r="I49" s="59">
        <v>106.5</v>
      </c>
      <c r="J49" s="59">
        <v>113.7</v>
      </c>
      <c r="K49" s="59">
        <v>112.4</v>
      </c>
      <c r="L49" s="59">
        <v>103.3</v>
      </c>
      <c r="M49" s="59">
        <v>111.5</v>
      </c>
      <c r="N49" s="59"/>
      <c r="O49" s="59">
        <v>109.9</v>
      </c>
      <c r="P49" s="72">
        <v>104.6</v>
      </c>
      <c r="Q49" s="72">
        <v>104.6</v>
      </c>
      <c r="R49" s="72">
        <v>104.3</v>
      </c>
      <c r="S49" s="41">
        <v>104.3</v>
      </c>
      <c r="T49" s="72">
        <v>104.2</v>
      </c>
      <c r="U49" s="72">
        <v>104.2</v>
      </c>
      <c r="AN49" s="7"/>
      <c r="AP49" s="7"/>
    </row>
    <row r="50" spans="2:42" ht="37.5" hidden="1" x14ac:dyDescent="0.35">
      <c r="B50" s="48">
        <f t="shared" si="21"/>
        <v>22</v>
      </c>
      <c r="C50" s="60" t="s">
        <v>64</v>
      </c>
      <c r="D50" s="50" t="s">
        <v>11</v>
      </c>
      <c r="E50" s="8"/>
      <c r="F50" s="8"/>
      <c r="G50" s="41"/>
      <c r="H50" s="41"/>
      <c r="I50" s="73"/>
      <c r="J50" s="73"/>
      <c r="K50" s="73"/>
      <c r="L50" s="73"/>
      <c r="M50" s="73"/>
      <c r="N50" s="73"/>
      <c r="O50" s="73"/>
      <c r="P50" s="41"/>
      <c r="Q50" s="41"/>
      <c r="R50" s="41"/>
      <c r="S50" s="41"/>
      <c r="T50" s="41"/>
      <c r="U50" s="41"/>
      <c r="AN50" s="7"/>
      <c r="AP50" s="7"/>
    </row>
    <row r="51" spans="2:42" ht="56.25" hidden="1" x14ac:dyDescent="0.35">
      <c r="B51" s="48">
        <f t="shared" si="21"/>
        <v>23</v>
      </c>
      <c r="C51" s="60" t="s">
        <v>143</v>
      </c>
      <c r="D51" s="50" t="s">
        <v>42</v>
      </c>
      <c r="E51" s="8"/>
      <c r="F51" s="8"/>
      <c r="G51" s="41"/>
      <c r="H51" s="41"/>
      <c r="I51" s="73"/>
      <c r="J51" s="73"/>
      <c r="K51" s="73"/>
      <c r="L51" s="73"/>
      <c r="M51" s="73"/>
      <c r="N51" s="73"/>
      <c r="O51" s="73"/>
      <c r="P51" s="41"/>
      <c r="Q51" s="41"/>
      <c r="R51" s="41"/>
      <c r="S51" s="41"/>
      <c r="T51" s="41"/>
      <c r="U51" s="41"/>
      <c r="AN51" s="7"/>
      <c r="AP51" s="7"/>
    </row>
    <row r="52" spans="2:42" hidden="1" x14ac:dyDescent="0.35">
      <c r="B52" s="48">
        <f t="shared" si="21"/>
        <v>24</v>
      </c>
      <c r="C52" s="60" t="s">
        <v>144</v>
      </c>
      <c r="D52" s="50" t="s">
        <v>33</v>
      </c>
      <c r="E52" s="8"/>
      <c r="F52" s="8"/>
      <c r="G52" s="41"/>
      <c r="H52" s="41"/>
      <c r="I52" s="73"/>
      <c r="J52" s="73"/>
      <c r="K52" s="73"/>
      <c r="L52" s="73"/>
      <c r="M52" s="73"/>
      <c r="N52" s="73"/>
      <c r="O52" s="73"/>
      <c r="P52" s="41"/>
      <c r="Q52" s="41"/>
      <c r="R52" s="41"/>
      <c r="S52" s="41"/>
      <c r="T52" s="41"/>
      <c r="U52" s="41"/>
      <c r="AN52" s="7"/>
      <c r="AP52" s="7"/>
    </row>
    <row r="53" spans="2:42" ht="37.5" hidden="1" x14ac:dyDescent="0.35">
      <c r="B53" s="48">
        <f t="shared" si="21"/>
        <v>25</v>
      </c>
      <c r="C53" s="60" t="s">
        <v>65</v>
      </c>
      <c r="D53" s="50" t="s">
        <v>11</v>
      </c>
      <c r="E53" s="8"/>
      <c r="F53" s="8"/>
      <c r="G53" s="41"/>
      <c r="H53" s="41"/>
      <c r="I53" s="73"/>
      <c r="J53" s="73"/>
      <c r="K53" s="73"/>
      <c r="L53" s="73"/>
      <c r="M53" s="73"/>
      <c r="N53" s="73"/>
      <c r="O53" s="73"/>
      <c r="P53" s="41"/>
      <c r="Q53" s="41"/>
      <c r="R53" s="41"/>
      <c r="S53" s="41"/>
      <c r="T53" s="41"/>
      <c r="U53" s="41"/>
      <c r="AN53" s="7"/>
      <c r="AP53" s="7"/>
    </row>
    <row r="54" spans="2:42" ht="75" hidden="1" x14ac:dyDescent="0.35">
      <c r="B54" s="48">
        <f t="shared" si="21"/>
        <v>26</v>
      </c>
      <c r="C54" s="60" t="s">
        <v>145</v>
      </c>
      <c r="D54" s="50" t="s">
        <v>42</v>
      </c>
      <c r="E54" s="8"/>
      <c r="F54" s="8"/>
      <c r="G54" s="41"/>
      <c r="H54" s="41"/>
      <c r="I54" s="73"/>
      <c r="J54" s="73"/>
      <c r="K54" s="73"/>
      <c r="L54" s="73"/>
      <c r="M54" s="73"/>
      <c r="N54" s="73"/>
      <c r="O54" s="73"/>
      <c r="P54" s="41"/>
      <c r="Q54" s="41"/>
      <c r="R54" s="41"/>
      <c r="S54" s="41"/>
      <c r="T54" s="41"/>
      <c r="U54" s="41"/>
      <c r="AN54" s="7"/>
      <c r="AP54" s="7"/>
    </row>
    <row r="55" spans="2:42" ht="37.5" hidden="1" x14ac:dyDescent="0.35">
      <c r="B55" s="48">
        <f t="shared" si="21"/>
        <v>27</v>
      </c>
      <c r="C55" s="60" t="s">
        <v>146</v>
      </c>
      <c r="D55" s="50" t="s">
        <v>33</v>
      </c>
      <c r="E55" s="8"/>
      <c r="F55" s="8"/>
      <c r="G55" s="41"/>
      <c r="H55" s="41"/>
      <c r="I55" s="73"/>
      <c r="J55" s="73"/>
      <c r="K55" s="73"/>
      <c r="L55" s="73"/>
      <c r="M55" s="73"/>
      <c r="N55" s="73"/>
      <c r="O55" s="73"/>
      <c r="P55" s="41"/>
      <c r="Q55" s="41"/>
      <c r="R55" s="41"/>
      <c r="S55" s="41"/>
      <c r="T55" s="41"/>
      <c r="U55" s="41"/>
      <c r="AN55" s="7"/>
      <c r="AP55" s="7"/>
    </row>
    <row r="56" spans="2:42" ht="37.5" hidden="1" x14ac:dyDescent="0.35">
      <c r="B56" s="48">
        <f t="shared" si="21"/>
        <v>28</v>
      </c>
      <c r="C56" s="60" t="s">
        <v>66</v>
      </c>
      <c r="D56" s="50" t="s">
        <v>11</v>
      </c>
      <c r="E56" s="8"/>
      <c r="F56" s="8"/>
      <c r="G56" s="41"/>
      <c r="H56" s="41"/>
      <c r="I56" s="73"/>
      <c r="J56" s="73"/>
      <c r="K56" s="73"/>
      <c r="L56" s="73"/>
      <c r="M56" s="73"/>
      <c r="N56" s="73"/>
      <c r="O56" s="73"/>
      <c r="P56" s="41"/>
      <c r="Q56" s="41"/>
      <c r="R56" s="41"/>
      <c r="S56" s="41"/>
      <c r="T56" s="41"/>
      <c r="U56" s="41"/>
      <c r="AN56" s="7"/>
      <c r="AP56" s="7"/>
    </row>
    <row r="57" spans="2:42" ht="56.25" hidden="1" x14ac:dyDescent="0.35">
      <c r="B57" s="48">
        <f t="shared" si="21"/>
        <v>29</v>
      </c>
      <c r="C57" s="60" t="s">
        <v>147</v>
      </c>
      <c r="D57" s="50" t="s">
        <v>42</v>
      </c>
      <c r="E57" s="8"/>
      <c r="F57" s="8"/>
      <c r="G57" s="41"/>
      <c r="H57" s="41"/>
      <c r="I57" s="73"/>
      <c r="J57" s="73"/>
      <c r="K57" s="73"/>
      <c r="L57" s="73"/>
      <c r="M57" s="73"/>
      <c r="N57" s="73"/>
      <c r="O57" s="73"/>
      <c r="P57" s="41"/>
      <c r="Q57" s="41"/>
      <c r="R57" s="41"/>
      <c r="S57" s="41"/>
      <c r="T57" s="41"/>
      <c r="U57" s="41"/>
      <c r="AN57" s="7"/>
      <c r="AP57" s="7"/>
    </row>
    <row r="58" spans="2:42" hidden="1" x14ac:dyDescent="0.35">
      <c r="B58" s="48">
        <f t="shared" si="21"/>
        <v>30</v>
      </c>
      <c r="C58" s="60" t="s">
        <v>148</v>
      </c>
      <c r="D58" s="50" t="s">
        <v>33</v>
      </c>
      <c r="E58" s="8"/>
      <c r="F58" s="8"/>
      <c r="G58" s="41"/>
      <c r="H58" s="41"/>
      <c r="I58" s="73"/>
      <c r="J58" s="73"/>
      <c r="K58" s="73"/>
      <c r="L58" s="73"/>
      <c r="M58" s="73"/>
      <c r="N58" s="73"/>
      <c r="O58" s="73"/>
      <c r="P58" s="41"/>
      <c r="Q58" s="41"/>
      <c r="R58" s="41"/>
      <c r="S58" s="41"/>
      <c r="T58" s="41"/>
      <c r="U58" s="41"/>
      <c r="AN58" s="7"/>
      <c r="AP58" s="7"/>
    </row>
    <row r="59" spans="2:42" ht="37.5" hidden="1" x14ac:dyDescent="0.35">
      <c r="B59" s="48">
        <f t="shared" si="21"/>
        <v>31</v>
      </c>
      <c r="C59" s="60" t="s">
        <v>67</v>
      </c>
      <c r="D59" s="50" t="s">
        <v>11</v>
      </c>
      <c r="E59" s="77"/>
      <c r="F59" s="8"/>
      <c r="G59" s="41"/>
      <c r="H59" s="41"/>
      <c r="I59" s="73"/>
      <c r="J59" s="73"/>
      <c r="K59" s="73"/>
      <c r="L59" s="73"/>
      <c r="M59" s="73"/>
      <c r="N59" s="73"/>
      <c r="O59" s="73"/>
      <c r="P59" s="41"/>
      <c r="Q59" s="41"/>
      <c r="R59" s="41"/>
      <c r="S59" s="41"/>
      <c r="T59" s="41"/>
      <c r="U59" s="41"/>
      <c r="AN59" s="7"/>
      <c r="AP59" s="7"/>
    </row>
    <row r="60" spans="2:42" ht="75" hidden="1" x14ac:dyDescent="0.35">
      <c r="B60" s="48">
        <f t="shared" si="21"/>
        <v>32</v>
      </c>
      <c r="C60" s="60" t="s">
        <v>149</v>
      </c>
      <c r="D60" s="76" t="s">
        <v>42</v>
      </c>
      <c r="E60" s="77"/>
      <c r="F60" s="8"/>
      <c r="G60" s="41"/>
      <c r="H60" s="41"/>
      <c r="I60" s="73"/>
      <c r="J60" s="73"/>
      <c r="K60" s="73"/>
      <c r="L60" s="73"/>
      <c r="M60" s="73"/>
      <c r="N60" s="73"/>
      <c r="O60" s="73"/>
      <c r="P60" s="41"/>
      <c r="Q60" s="41"/>
      <c r="R60" s="41"/>
      <c r="S60" s="41"/>
      <c r="T60" s="41"/>
      <c r="U60" s="41"/>
      <c r="AN60" s="7"/>
      <c r="AP60" s="7"/>
    </row>
    <row r="61" spans="2:42" ht="37.5" hidden="1" x14ac:dyDescent="0.35">
      <c r="B61" s="48">
        <f t="shared" si="21"/>
        <v>33</v>
      </c>
      <c r="C61" s="60" t="s">
        <v>150</v>
      </c>
      <c r="D61" s="76" t="s">
        <v>33</v>
      </c>
      <c r="E61" s="77"/>
      <c r="F61" s="8"/>
      <c r="G61" s="41"/>
      <c r="H61" s="41"/>
      <c r="I61" s="73"/>
      <c r="J61" s="73"/>
      <c r="K61" s="73"/>
      <c r="L61" s="73"/>
      <c r="M61" s="73"/>
      <c r="N61" s="73"/>
      <c r="O61" s="73"/>
      <c r="P61" s="41"/>
      <c r="Q61" s="41"/>
      <c r="R61" s="41"/>
      <c r="S61" s="41"/>
      <c r="T61" s="41"/>
      <c r="U61" s="41"/>
      <c r="AN61" s="7"/>
      <c r="AP61" s="7"/>
    </row>
    <row r="62" spans="2:42" hidden="1" x14ac:dyDescent="0.35">
      <c r="B62" s="48"/>
      <c r="C62" s="60"/>
      <c r="D62" s="76"/>
      <c r="E62" s="77"/>
      <c r="F62" s="8"/>
      <c r="G62" s="41"/>
      <c r="H62" s="41"/>
      <c r="I62" s="73"/>
      <c r="J62" s="73"/>
      <c r="K62" s="73"/>
      <c r="L62" s="73"/>
      <c r="M62" s="73"/>
      <c r="N62" s="73"/>
      <c r="O62" s="73"/>
      <c r="P62" s="41">
        <f>P48/G48*100</f>
        <v>90.313653136531357</v>
      </c>
      <c r="Q62" s="41">
        <f>Q48/G48*100</f>
        <v>93.957564575645762</v>
      </c>
      <c r="R62" s="41">
        <f t="shared" ref="R62:T62" si="33">R48/P48*100</f>
        <v>101.02145045965271</v>
      </c>
      <c r="S62" s="41">
        <f t="shared" si="33"/>
        <v>105</v>
      </c>
      <c r="T62" s="41">
        <f t="shared" si="33"/>
        <v>101.01112234580383</v>
      </c>
      <c r="U62" s="41">
        <f>U48/S48*100</f>
        <v>105</v>
      </c>
      <c r="AN62" s="7"/>
      <c r="AP62" s="7"/>
    </row>
    <row r="63" spans="2:42" ht="56.25" hidden="1" x14ac:dyDescent="0.35">
      <c r="B63" s="48">
        <v>21</v>
      </c>
      <c r="C63" s="78" t="s">
        <v>68</v>
      </c>
      <c r="D63" s="50" t="s">
        <v>11</v>
      </c>
      <c r="E63" s="119">
        <v>107.3</v>
      </c>
      <c r="F63" s="119">
        <f t="shared" ref="F63" si="34">F64/E64/F65*10000</f>
        <v>131.91843365271419</v>
      </c>
      <c r="G63" s="47">
        <f t="shared" ref="G63:J63" si="35">G64/F64/G65*10000</f>
        <v>86.042723080100046</v>
      </c>
      <c r="H63" s="47">
        <f t="shared" si="35"/>
        <v>113.46138260799091</v>
      </c>
      <c r="I63" s="47">
        <f t="shared" si="35"/>
        <v>56.694426649583598</v>
      </c>
      <c r="J63" s="47">
        <f t="shared" si="35"/>
        <v>18.941249469318443</v>
      </c>
      <c r="K63" s="41">
        <f>K64/J64/K65*10000</f>
        <v>35.393467731920353</v>
      </c>
      <c r="L63" s="41">
        <f>L64/K64/L65*10000</f>
        <v>0</v>
      </c>
      <c r="M63" s="41"/>
      <c r="N63" s="41"/>
      <c r="O63" s="41"/>
      <c r="P63" s="41">
        <f>P64/K64/P65*10000</f>
        <v>0</v>
      </c>
      <c r="Q63" s="41">
        <f>Q64/K64/Q65*10000</f>
        <v>0</v>
      </c>
      <c r="R63" s="41">
        <v>0</v>
      </c>
      <c r="S63" s="41">
        <v>0</v>
      </c>
      <c r="T63" s="41">
        <v>0</v>
      </c>
      <c r="U63" s="41">
        <v>0</v>
      </c>
      <c r="AN63" s="7"/>
      <c r="AP63" s="7"/>
    </row>
    <row r="64" spans="2:42" ht="112.5" hidden="1" x14ac:dyDescent="0.35">
      <c r="B64" s="48">
        <f t="shared" si="21"/>
        <v>22</v>
      </c>
      <c r="C64" s="60" t="s">
        <v>151</v>
      </c>
      <c r="D64" s="76" t="s">
        <v>42</v>
      </c>
      <c r="E64" s="119">
        <v>111.22</v>
      </c>
      <c r="F64" s="119">
        <v>147.6</v>
      </c>
      <c r="G64" s="47">
        <v>135</v>
      </c>
      <c r="H64" s="47">
        <v>140</v>
      </c>
      <c r="I64" s="120">
        <v>88.5</v>
      </c>
      <c r="J64" s="117">
        <v>20.3</v>
      </c>
      <c r="K64" s="51">
        <v>6.84</v>
      </c>
      <c r="L64" s="51">
        <v>0</v>
      </c>
      <c r="M64" s="51"/>
      <c r="N64" s="51"/>
      <c r="O64" s="51"/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AN64" s="7"/>
      <c r="AP64" s="7"/>
    </row>
    <row r="65" spans="2:42" ht="81" hidden="1" customHeight="1" x14ac:dyDescent="0.35">
      <c r="B65" s="48">
        <f t="shared" si="21"/>
        <v>23</v>
      </c>
      <c r="C65" s="60" t="s">
        <v>152</v>
      </c>
      <c r="D65" s="76" t="s">
        <v>33</v>
      </c>
      <c r="E65" s="119">
        <v>103.7</v>
      </c>
      <c r="F65" s="119">
        <v>100.6</v>
      </c>
      <c r="G65" s="118">
        <v>106.3</v>
      </c>
      <c r="H65" s="118">
        <v>91.4</v>
      </c>
      <c r="I65" s="120">
        <v>111.5</v>
      </c>
      <c r="J65" s="120">
        <v>121.1</v>
      </c>
      <c r="K65" s="59">
        <v>95.2</v>
      </c>
      <c r="L65" s="59">
        <v>92.1</v>
      </c>
      <c r="M65" s="59"/>
      <c r="N65" s="59"/>
      <c r="O65" s="59"/>
      <c r="P65" s="72">
        <v>106.5</v>
      </c>
      <c r="Q65" s="72">
        <v>106.5</v>
      </c>
      <c r="R65" s="72">
        <v>103.1</v>
      </c>
      <c r="S65" s="72">
        <v>103.1</v>
      </c>
      <c r="T65" s="41">
        <v>103.6</v>
      </c>
      <c r="U65" s="72">
        <v>103.6</v>
      </c>
      <c r="AN65" s="7"/>
      <c r="AP65" s="7"/>
    </row>
    <row r="66" spans="2:42" ht="37.5" hidden="1" x14ac:dyDescent="0.35">
      <c r="B66" s="48">
        <f t="shared" si="21"/>
        <v>24</v>
      </c>
      <c r="C66" s="60" t="s">
        <v>69</v>
      </c>
      <c r="D66" s="50" t="s">
        <v>11</v>
      </c>
      <c r="E66" s="8"/>
      <c r="F66" s="8"/>
      <c r="G66" s="41"/>
      <c r="H66" s="41"/>
      <c r="I66" s="73"/>
      <c r="J66" s="73"/>
      <c r="K66" s="73"/>
      <c r="L66" s="73"/>
      <c r="M66" s="73"/>
      <c r="N66" s="73"/>
      <c r="O66" s="73"/>
      <c r="P66" s="41"/>
      <c r="Q66" s="41"/>
      <c r="R66" s="41"/>
      <c r="S66" s="41"/>
      <c r="T66" s="41"/>
      <c r="U66" s="41"/>
      <c r="AN66" s="7"/>
      <c r="AP66" s="7"/>
    </row>
    <row r="67" spans="2:42" ht="75" hidden="1" x14ac:dyDescent="0.35">
      <c r="B67" s="48">
        <f t="shared" si="21"/>
        <v>25</v>
      </c>
      <c r="C67" s="60" t="s">
        <v>153</v>
      </c>
      <c r="D67" s="76" t="s">
        <v>42</v>
      </c>
      <c r="E67" s="8"/>
      <c r="F67" s="8"/>
      <c r="G67" s="41"/>
      <c r="H67" s="41"/>
      <c r="I67" s="73"/>
      <c r="J67" s="73"/>
      <c r="K67" s="73"/>
      <c r="L67" s="73"/>
      <c r="M67" s="73"/>
      <c r="N67" s="73"/>
      <c r="O67" s="73"/>
      <c r="P67" s="41"/>
      <c r="Q67" s="41"/>
      <c r="R67" s="41"/>
      <c r="S67" s="41"/>
      <c r="T67" s="41"/>
      <c r="U67" s="41"/>
      <c r="AN67" s="7"/>
      <c r="AP67" s="7"/>
    </row>
    <row r="68" spans="2:42" ht="37.5" hidden="1" x14ac:dyDescent="0.35">
      <c r="B68" s="48">
        <f t="shared" si="21"/>
        <v>26</v>
      </c>
      <c r="C68" s="60" t="s">
        <v>154</v>
      </c>
      <c r="D68" s="76" t="s">
        <v>33</v>
      </c>
      <c r="E68" s="8"/>
      <c r="F68" s="8"/>
      <c r="G68" s="41"/>
      <c r="H68" s="41"/>
      <c r="I68" s="73"/>
      <c r="J68" s="73"/>
      <c r="K68" s="73"/>
      <c r="L68" s="73"/>
      <c r="M68" s="73"/>
      <c r="N68" s="73"/>
      <c r="O68" s="73"/>
      <c r="P68" s="41"/>
      <c r="Q68" s="41"/>
      <c r="R68" s="41"/>
      <c r="S68" s="41"/>
      <c r="T68" s="41"/>
      <c r="U68" s="41"/>
      <c r="AN68" s="7"/>
      <c r="AP68" s="7"/>
    </row>
    <row r="69" spans="2:42" ht="37.5" hidden="1" x14ac:dyDescent="0.35">
      <c r="B69" s="48">
        <f t="shared" si="21"/>
        <v>27</v>
      </c>
      <c r="C69" s="60" t="s">
        <v>70</v>
      </c>
      <c r="D69" s="50" t="s">
        <v>11</v>
      </c>
      <c r="E69" s="8"/>
      <c r="F69" s="8"/>
      <c r="G69" s="41"/>
      <c r="H69" s="41"/>
      <c r="I69" s="73"/>
      <c r="J69" s="73"/>
      <c r="K69" s="73"/>
      <c r="L69" s="73"/>
      <c r="M69" s="73"/>
      <c r="N69" s="73"/>
      <c r="O69" s="73"/>
      <c r="P69" s="41"/>
      <c r="Q69" s="41"/>
      <c r="R69" s="41"/>
      <c r="S69" s="41"/>
      <c r="T69" s="41"/>
      <c r="U69" s="41"/>
      <c r="AN69" s="7"/>
      <c r="AP69" s="7"/>
    </row>
    <row r="70" spans="2:42" ht="46.5" hidden="1" customHeight="1" x14ac:dyDescent="0.35">
      <c r="B70" s="48">
        <f t="shared" si="21"/>
        <v>28</v>
      </c>
      <c r="C70" s="60" t="s">
        <v>155</v>
      </c>
      <c r="D70" s="50" t="s">
        <v>42</v>
      </c>
      <c r="E70" s="8"/>
      <c r="F70" s="8"/>
      <c r="G70" s="41"/>
      <c r="H70" s="41"/>
      <c r="I70" s="73"/>
      <c r="J70" s="73"/>
      <c r="K70" s="73"/>
      <c r="L70" s="73"/>
      <c r="M70" s="73"/>
      <c r="N70" s="73"/>
      <c r="O70" s="73"/>
      <c r="P70" s="41"/>
      <c r="Q70" s="41"/>
      <c r="R70" s="41"/>
      <c r="S70" s="41"/>
      <c r="T70" s="41"/>
      <c r="U70" s="41"/>
      <c r="AN70" s="7"/>
      <c r="AP70" s="7"/>
    </row>
    <row r="71" spans="2:42" ht="37.5" hidden="1" x14ac:dyDescent="0.35">
      <c r="B71" s="48">
        <f t="shared" si="21"/>
        <v>29</v>
      </c>
      <c r="C71" s="60" t="s">
        <v>156</v>
      </c>
      <c r="D71" s="50" t="s">
        <v>33</v>
      </c>
      <c r="E71" s="8"/>
      <c r="F71" s="8"/>
      <c r="G71" s="41"/>
      <c r="H71" s="41"/>
      <c r="I71" s="73"/>
      <c r="J71" s="73"/>
      <c r="K71" s="73"/>
      <c r="L71" s="73"/>
      <c r="M71" s="73"/>
      <c r="N71" s="73"/>
      <c r="O71" s="73"/>
      <c r="P71" s="41"/>
      <c r="Q71" s="41"/>
      <c r="R71" s="41"/>
      <c r="S71" s="41"/>
      <c r="T71" s="41"/>
      <c r="U71" s="41"/>
      <c r="AN71" s="7"/>
      <c r="AP71" s="7"/>
    </row>
    <row r="72" spans="2:42" ht="37.5" hidden="1" x14ac:dyDescent="0.35">
      <c r="B72" s="48">
        <f t="shared" si="21"/>
        <v>30</v>
      </c>
      <c r="C72" s="60" t="s">
        <v>71</v>
      </c>
      <c r="D72" s="50" t="s">
        <v>11</v>
      </c>
      <c r="E72" s="77"/>
      <c r="F72" s="8"/>
      <c r="G72" s="41"/>
      <c r="H72" s="41"/>
      <c r="I72" s="73"/>
      <c r="J72" s="73"/>
      <c r="K72" s="73"/>
      <c r="L72" s="73"/>
      <c r="M72" s="73"/>
      <c r="N72" s="73"/>
      <c r="O72" s="73"/>
      <c r="P72" s="41"/>
      <c r="Q72" s="41"/>
      <c r="R72" s="41"/>
      <c r="S72" s="41"/>
      <c r="T72" s="41"/>
      <c r="U72" s="41"/>
      <c r="AN72" s="7"/>
      <c r="AP72" s="7"/>
    </row>
    <row r="73" spans="2:42" ht="75" hidden="1" x14ac:dyDescent="0.35">
      <c r="B73" s="48">
        <f t="shared" si="21"/>
        <v>31</v>
      </c>
      <c r="C73" s="60" t="s">
        <v>157</v>
      </c>
      <c r="D73" s="76" t="s">
        <v>42</v>
      </c>
      <c r="E73" s="77"/>
      <c r="F73" s="8"/>
      <c r="G73" s="41"/>
      <c r="H73" s="41"/>
      <c r="I73" s="73"/>
      <c r="J73" s="73"/>
      <c r="K73" s="73"/>
      <c r="L73" s="73"/>
      <c r="M73" s="73"/>
      <c r="N73" s="73"/>
      <c r="O73" s="73"/>
      <c r="P73" s="41"/>
      <c r="Q73" s="41"/>
      <c r="R73" s="41"/>
      <c r="S73" s="41"/>
      <c r="T73" s="41"/>
      <c r="U73" s="41"/>
      <c r="AN73" s="7"/>
      <c r="AP73" s="7"/>
    </row>
    <row r="74" spans="2:42" ht="37.5" hidden="1" x14ac:dyDescent="0.35">
      <c r="B74" s="48">
        <f t="shared" si="21"/>
        <v>32</v>
      </c>
      <c r="C74" s="60" t="s">
        <v>158</v>
      </c>
      <c r="D74" s="76" t="s">
        <v>33</v>
      </c>
      <c r="E74" s="77"/>
      <c r="F74" s="8"/>
      <c r="G74" s="41"/>
      <c r="H74" s="41"/>
      <c r="I74" s="73"/>
      <c r="J74" s="73"/>
      <c r="K74" s="73"/>
      <c r="L74" s="73"/>
      <c r="M74" s="73"/>
      <c r="N74" s="73"/>
      <c r="O74" s="73"/>
      <c r="P74" s="41"/>
      <c r="Q74" s="41"/>
      <c r="R74" s="41"/>
      <c r="S74" s="41"/>
      <c r="T74" s="41"/>
      <c r="U74" s="41"/>
      <c r="AN74" s="7"/>
      <c r="AP74" s="7"/>
    </row>
    <row r="75" spans="2:42" ht="37.5" hidden="1" x14ac:dyDescent="0.35">
      <c r="B75" s="48">
        <f t="shared" si="21"/>
        <v>33</v>
      </c>
      <c r="C75" s="60" t="s">
        <v>110</v>
      </c>
      <c r="D75" s="50" t="s">
        <v>11</v>
      </c>
      <c r="E75" s="77"/>
      <c r="F75" s="8"/>
      <c r="G75" s="41"/>
      <c r="H75" s="41"/>
      <c r="I75" s="73"/>
      <c r="J75" s="73"/>
      <c r="K75" s="73"/>
      <c r="L75" s="73"/>
      <c r="M75" s="73"/>
      <c r="N75" s="73"/>
      <c r="O75" s="73"/>
      <c r="P75" s="41"/>
      <c r="Q75" s="41"/>
      <c r="R75" s="41"/>
      <c r="S75" s="41"/>
      <c r="T75" s="41"/>
      <c r="U75" s="41"/>
      <c r="AN75" s="7"/>
      <c r="AP75" s="7"/>
    </row>
    <row r="76" spans="2:42" ht="93.75" hidden="1" x14ac:dyDescent="0.35">
      <c r="B76" s="48">
        <f t="shared" si="21"/>
        <v>34</v>
      </c>
      <c r="C76" s="60" t="s">
        <v>159</v>
      </c>
      <c r="D76" s="50" t="s">
        <v>42</v>
      </c>
      <c r="E76" s="77"/>
      <c r="F76" s="8"/>
      <c r="G76" s="41"/>
      <c r="H76" s="41"/>
      <c r="I76" s="73"/>
      <c r="J76" s="73"/>
      <c r="K76" s="73"/>
      <c r="L76" s="73"/>
      <c r="M76" s="73"/>
      <c r="N76" s="73"/>
      <c r="O76" s="73"/>
      <c r="P76" s="41"/>
      <c r="Q76" s="41"/>
      <c r="R76" s="41"/>
      <c r="S76" s="41"/>
      <c r="T76" s="41"/>
      <c r="U76" s="41"/>
      <c r="AN76" s="7"/>
      <c r="AP76" s="7"/>
    </row>
    <row r="77" spans="2:42" ht="56.25" hidden="1" x14ac:dyDescent="0.35">
      <c r="B77" s="48">
        <f t="shared" si="21"/>
        <v>35</v>
      </c>
      <c r="C77" s="60" t="s">
        <v>160</v>
      </c>
      <c r="D77" s="50" t="s">
        <v>33</v>
      </c>
      <c r="E77" s="77"/>
      <c r="F77" s="8"/>
      <c r="G77" s="41"/>
      <c r="H77" s="41"/>
      <c r="I77" s="73"/>
      <c r="J77" s="73"/>
      <c r="K77" s="73"/>
      <c r="L77" s="73"/>
      <c r="M77" s="73"/>
      <c r="N77" s="73"/>
      <c r="O77" s="73"/>
      <c r="P77" s="41"/>
      <c r="Q77" s="41"/>
      <c r="R77" s="41"/>
      <c r="S77" s="41"/>
      <c r="T77" s="41"/>
      <c r="U77" s="41"/>
      <c r="AN77" s="7"/>
      <c r="AP77" s="7"/>
    </row>
    <row r="78" spans="2:42" ht="37.5" hidden="1" x14ac:dyDescent="0.35">
      <c r="B78" s="48">
        <f t="shared" si="21"/>
        <v>36</v>
      </c>
      <c r="C78" s="60" t="s">
        <v>72</v>
      </c>
      <c r="D78" s="50" t="s">
        <v>11</v>
      </c>
      <c r="E78" s="77"/>
      <c r="F78" s="8"/>
      <c r="G78" s="41"/>
      <c r="H78" s="41"/>
      <c r="I78" s="73"/>
      <c r="J78" s="73"/>
      <c r="K78" s="73"/>
      <c r="L78" s="73"/>
      <c r="M78" s="73"/>
      <c r="N78" s="73"/>
      <c r="O78" s="73"/>
      <c r="P78" s="41"/>
      <c r="Q78" s="41"/>
      <c r="R78" s="41"/>
      <c r="S78" s="41"/>
      <c r="T78" s="41"/>
      <c r="U78" s="41"/>
      <c r="AN78" s="7"/>
      <c r="AP78" s="7"/>
    </row>
    <row r="79" spans="2:42" ht="75" hidden="1" x14ac:dyDescent="0.35">
      <c r="B79" s="48">
        <f t="shared" si="21"/>
        <v>37</v>
      </c>
      <c r="C79" s="60" t="s">
        <v>161</v>
      </c>
      <c r="D79" s="76" t="s">
        <v>42</v>
      </c>
      <c r="E79" s="77"/>
      <c r="F79" s="8"/>
      <c r="G79" s="41"/>
      <c r="H79" s="41"/>
      <c r="I79" s="73"/>
      <c r="J79" s="73"/>
      <c r="K79" s="73"/>
      <c r="L79" s="73"/>
      <c r="M79" s="73"/>
      <c r="N79" s="73"/>
      <c r="O79" s="73"/>
      <c r="P79" s="41"/>
      <c r="Q79" s="41"/>
      <c r="R79" s="41"/>
      <c r="S79" s="41"/>
      <c r="T79" s="41"/>
      <c r="U79" s="41"/>
      <c r="AN79" s="7"/>
      <c r="AP79" s="7"/>
    </row>
    <row r="80" spans="2:42" ht="37.5" hidden="1" x14ac:dyDescent="0.35">
      <c r="B80" s="48">
        <f t="shared" si="21"/>
        <v>38</v>
      </c>
      <c r="C80" s="60" t="s">
        <v>162</v>
      </c>
      <c r="D80" s="76" t="s">
        <v>33</v>
      </c>
      <c r="E80" s="77"/>
      <c r="F80" s="8"/>
      <c r="G80" s="41"/>
      <c r="H80" s="41"/>
      <c r="I80" s="73"/>
      <c r="J80" s="73"/>
      <c r="K80" s="73"/>
      <c r="L80" s="73"/>
      <c r="M80" s="73"/>
      <c r="N80" s="73"/>
      <c r="O80" s="73"/>
      <c r="P80" s="41"/>
      <c r="Q80" s="41"/>
      <c r="R80" s="41"/>
      <c r="S80" s="41"/>
      <c r="T80" s="41"/>
      <c r="U80" s="41"/>
      <c r="AN80" s="7"/>
      <c r="AP80" s="7"/>
    </row>
    <row r="81" spans="2:42" ht="40.5" customHeight="1" x14ac:dyDescent="0.35">
      <c r="B81" s="48">
        <v>22</v>
      </c>
      <c r="C81" s="78" t="s">
        <v>73</v>
      </c>
      <c r="D81" s="50" t="s">
        <v>11</v>
      </c>
      <c r="E81" s="8">
        <v>48.4</v>
      </c>
      <c r="F81" s="8">
        <f t="shared" ref="F81:G81" si="36">F82/E82/F83*10000</f>
        <v>182.09260431374454</v>
      </c>
      <c r="G81" s="41">
        <f t="shared" si="36"/>
        <v>139.70653070327859</v>
      </c>
      <c r="H81" s="41">
        <f t="shared" ref="H81:K81" si="37">H82/G82/H83*10000</f>
        <v>135.20854298359598</v>
      </c>
      <c r="I81" s="41">
        <f t="shared" si="37"/>
        <v>94.912459751360345</v>
      </c>
      <c r="J81" s="41">
        <f t="shared" si="37"/>
        <v>92.675574384878587</v>
      </c>
      <c r="K81" s="41">
        <f t="shared" si="37"/>
        <v>82.98557629661309</v>
      </c>
      <c r="L81" s="41">
        <f>L82/K82/L83*10000</f>
        <v>92.423896662996114</v>
      </c>
      <c r="M81" s="41">
        <f>M82/L82/M83*10000</f>
        <v>125.21976192135814</v>
      </c>
      <c r="N81" s="41"/>
      <c r="O81" s="41">
        <f>O82/M82/O83*10000</f>
        <v>94.738330239254736</v>
      </c>
      <c r="P81" s="41">
        <f>P82/O82/P83*10000</f>
        <v>96.093611212401726</v>
      </c>
      <c r="Q81" s="41">
        <f>Q82/O82/Q83*10000</f>
        <v>97.142857142857153</v>
      </c>
      <c r="R81" s="41">
        <f>R82/P82/R83*10000</f>
        <v>96.560410371279232</v>
      </c>
      <c r="S81" s="41">
        <f>S82/Q82/S83*10000</f>
        <v>98.470363288718929</v>
      </c>
      <c r="T81" s="41">
        <f>T82/R82/T83*10000</f>
        <v>96.926162954476581</v>
      </c>
      <c r="U81" s="41">
        <f>U82/S82/U83*10000</f>
        <v>100.76775431861805</v>
      </c>
      <c r="AN81" s="7"/>
      <c r="AP81" s="7"/>
    </row>
    <row r="82" spans="2:42" ht="84.75" customHeight="1" x14ac:dyDescent="0.35">
      <c r="B82" s="48">
        <v>22</v>
      </c>
      <c r="C82" s="60" t="s">
        <v>163</v>
      </c>
      <c r="D82" s="76" t="s">
        <v>42</v>
      </c>
      <c r="E82" s="77">
        <v>43.24</v>
      </c>
      <c r="F82" s="8">
        <v>74.8</v>
      </c>
      <c r="G82" s="41">
        <v>107.74</v>
      </c>
      <c r="H82" s="41">
        <v>138.38999999999999</v>
      </c>
      <c r="I82" s="41">
        <v>142.12</v>
      </c>
      <c r="J82" s="41">
        <v>140.13999999999999</v>
      </c>
      <c r="K82" s="41">
        <v>139.09</v>
      </c>
      <c r="L82" s="41">
        <v>144.75</v>
      </c>
      <c r="M82" s="41">
        <v>202.1</v>
      </c>
      <c r="N82" s="41"/>
      <c r="O82" s="41">
        <v>203.72</v>
      </c>
      <c r="P82" s="41">
        <v>205.55</v>
      </c>
      <c r="Q82" s="41">
        <f>O82*102%</f>
        <v>207.7944</v>
      </c>
      <c r="R82" s="41">
        <v>207.61</v>
      </c>
      <c r="S82" s="41">
        <f>Q82*103%</f>
        <v>214.028232</v>
      </c>
      <c r="T82" s="41">
        <v>209.68</v>
      </c>
      <c r="U82" s="41">
        <f>S82*105%</f>
        <v>224.7296436</v>
      </c>
      <c r="AN82" s="7"/>
      <c r="AP82" s="7"/>
    </row>
    <row r="83" spans="2:42" ht="40.5" customHeight="1" x14ac:dyDescent="0.35">
      <c r="B83" s="48">
        <v>22</v>
      </c>
      <c r="C83" s="60" t="s">
        <v>164</v>
      </c>
      <c r="D83" s="76" t="s">
        <v>33</v>
      </c>
      <c r="E83" s="77">
        <v>102.8</v>
      </c>
      <c r="F83" s="8">
        <v>95</v>
      </c>
      <c r="G83" s="41">
        <v>103.1</v>
      </c>
      <c r="H83" s="41">
        <v>95</v>
      </c>
      <c r="I83" s="59">
        <v>108.2</v>
      </c>
      <c r="J83" s="59">
        <v>106.4</v>
      </c>
      <c r="K83" s="59">
        <v>119.6</v>
      </c>
      <c r="L83" s="59">
        <v>112.6</v>
      </c>
      <c r="M83" s="59">
        <v>111.5</v>
      </c>
      <c r="N83" s="59"/>
      <c r="O83" s="59">
        <v>106.4</v>
      </c>
      <c r="P83" s="72">
        <v>105</v>
      </c>
      <c r="Q83" s="72">
        <v>105</v>
      </c>
      <c r="R83" s="72">
        <v>104.6</v>
      </c>
      <c r="S83" s="72">
        <v>104.6</v>
      </c>
      <c r="T83" s="72">
        <v>104.2</v>
      </c>
      <c r="U83" s="72">
        <v>104.2</v>
      </c>
      <c r="AN83" s="7"/>
      <c r="AP83" s="7"/>
    </row>
    <row r="84" spans="2:42" ht="48.75" customHeight="1" x14ac:dyDescent="0.35">
      <c r="B84" s="48">
        <v>25</v>
      </c>
      <c r="C84" s="71" t="s">
        <v>74</v>
      </c>
      <c r="D84" s="50" t="s">
        <v>11</v>
      </c>
      <c r="E84" s="53">
        <v>100.8</v>
      </c>
      <c r="F84" s="53">
        <f>F85/E85/F86*10000</f>
        <v>98.673300165837475</v>
      </c>
      <c r="G84" s="75">
        <f>G85/F85/G86*10000</f>
        <v>94.426606061096251</v>
      </c>
      <c r="H84" s="75">
        <f t="shared" ref="H84" si="38">H85/G85/H86*10000</f>
        <v>103.96039603960396</v>
      </c>
      <c r="I84" s="75">
        <f>I85/H85/I86*10000</f>
        <v>97.018080012196549</v>
      </c>
      <c r="J84" s="75">
        <f>J85/I85/J86*10000</f>
        <v>120.47199305254016</v>
      </c>
      <c r="K84" s="75">
        <f>K85/J85/K86*10000</f>
        <v>98.550091220959445</v>
      </c>
      <c r="L84" s="75">
        <f>L85/K85/L86*10000</f>
        <v>95.965472174512712</v>
      </c>
      <c r="M84" s="75">
        <f>M85/L85/M86*10000</f>
        <v>101.70231411480346</v>
      </c>
      <c r="N84" s="75"/>
      <c r="O84" s="75">
        <f>O85/M85/O86*10000</f>
        <v>96.457041629760838</v>
      </c>
      <c r="P84" s="75">
        <f>P85/O85/P86*10000</f>
        <v>94.56327985739749</v>
      </c>
      <c r="Q84" s="75">
        <f>Q85/O85/Q86*10000</f>
        <v>98.039215686274503</v>
      </c>
      <c r="R84" s="75">
        <f>R85/P85/R86*10000</f>
        <v>96.15384615384616</v>
      </c>
      <c r="S84" s="75">
        <f>S85/Q85/S86*10000</f>
        <v>97.985347985347985</v>
      </c>
      <c r="T84" s="75">
        <f>T85/R85/T86*10000</f>
        <v>100.1908396946565</v>
      </c>
      <c r="U84" s="75">
        <f>U85/S85/U86*10000</f>
        <v>102.09923664122138</v>
      </c>
      <c r="AN84" s="7"/>
      <c r="AP84" s="7"/>
    </row>
    <row r="85" spans="2:42" ht="90" customHeight="1" x14ac:dyDescent="0.2">
      <c r="B85" s="48">
        <f t="shared" ref="B85:B92" si="39">B84+1</f>
        <v>26</v>
      </c>
      <c r="C85" s="60" t="s">
        <v>165</v>
      </c>
      <c r="D85" s="50" t="s">
        <v>42</v>
      </c>
      <c r="E85" s="77">
        <v>45</v>
      </c>
      <c r="F85" s="8">
        <v>47.6</v>
      </c>
      <c r="G85" s="41">
        <v>46.7</v>
      </c>
      <c r="H85" s="41">
        <f>G85*105%</f>
        <v>49.035000000000004</v>
      </c>
      <c r="I85" s="51">
        <v>49</v>
      </c>
      <c r="J85" s="51">
        <v>61.038339999999998</v>
      </c>
      <c r="K85" s="51">
        <v>62.499319999999997</v>
      </c>
      <c r="L85" s="51">
        <v>68.374655000000004</v>
      </c>
      <c r="M85" s="51">
        <v>73.849999999999994</v>
      </c>
      <c r="N85" s="51"/>
      <c r="O85" s="51">
        <f>M85*108.9%</f>
        <v>80.42264999999999</v>
      </c>
      <c r="P85" s="41">
        <f>O85*106.1%</f>
        <v>85.328431649999985</v>
      </c>
      <c r="Q85" s="41">
        <f>O85*110%</f>
        <v>88.464914999999991</v>
      </c>
      <c r="R85" s="41">
        <f>P85*105%</f>
        <v>89.594853232499986</v>
      </c>
      <c r="S85" s="41">
        <f>Q85*107%</f>
        <v>94.65745905</v>
      </c>
      <c r="T85" s="41">
        <f>R85*105%</f>
        <v>94.074595894124982</v>
      </c>
      <c r="U85" s="41">
        <f>S85*107%</f>
        <v>101.2834811835</v>
      </c>
      <c r="V85" s="45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N85" s="7"/>
      <c r="AP85" s="7"/>
    </row>
    <row r="86" spans="2:42" ht="56.25" x14ac:dyDescent="0.35">
      <c r="B86" s="48">
        <f t="shared" si="39"/>
        <v>27</v>
      </c>
      <c r="C86" s="60" t="s">
        <v>166</v>
      </c>
      <c r="D86" s="50" t="s">
        <v>33</v>
      </c>
      <c r="E86" s="77">
        <v>105.3</v>
      </c>
      <c r="F86" s="8">
        <v>107.2</v>
      </c>
      <c r="G86" s="72">
        <v>103.9</v>
      </c>
      <c r="H86" s="41">
        <v>101</v>
      </c>
      <c r="I86" s="51">
        <v>103</v>
      </c>
      <c r="J86" s="51">
        <v>103.4</v>
      </c>
      <c r="K86" s="51">
        <v>103.9</v>
      </c>
      <c r="L86" s="51">
        <v>114</v>
      </c>
      <c r="M86" s="51">
        <v>106.2</v>
      </c>
      <c r="N86" s="51"/>
      <c r="O86" s="51">
        <v>112.9</v>
      </c>
      <c r="P86" s="41">
        <v>112.2</v>
      </c>
      <c r="Q86" s="41">
        <v>112.2</v>
      </c>
      <c r="R86" s="41">
        <v>109.2</v>
      </c>
      <c r="S86" s="41">
        <v>109.2</v>
      </c>
      <c r="T86" s="41">
        <v>104.8</v>
      </c>
      <c r="U86" s="41">
        <v>104.8</v>
      </c>
      <c r="AN86" s="7"/>
      <c r="AP86" s="7"/>
    </row>
    <row r="87" spans="2:42" ht="58.5" x14ac:dyDescent="0.35">
      <c r="B87" s="48">
        <v>27</v>
      </c>
      <c r="C87" s="71" t="s">
        <v>75</v>
      </c>
      <c r="D87" s="50" t="s">
        <v>11</v>
      </c>
      <c r="E87" s="53">
        <v>107.3</v>
      </c>
      <c r="F87" s="53">
        <f t="shared" ref="F87" si="40">F88/E88/F89*10000</f>
        <v>91.872182825643819</v>
      </c>
      <c r="G87" s="75">
        <f>G88/F88/G89*10000</f>
        <v>89.40735694822888</v>
      </c>
      <c r="H87" s="75">
        <f t="shared" ref="H87:I87" si="41">H88/G88/H89*10000</f>
        <v>106.67996011964109</v>
      </c>
      <c r="I87" s="75">
        <f t="shared" si="41"/>
        <v>84.950240713480582</v>
      </c>
      <c r="J87" s="75">
        <f>J88/I88/J89*10000</f>
        <v>159.54977180214627</v>
      </c>
      <c r="K87" s="75">
        <f>K88/J88/K89*10000</f>
        <v>108.13954631223575</v>
      </c>
      <c r="L87" s="75">
        <f>L88/K88/L89*10000</f>
        <v>85.821842973248096</v>
      </c>
      <c r="M87" s="75">
        <f>M88/L88/M89*10000</f>
        <v>120.64894317521308</v>
      </c>
      <c r="N87" s="75"/>
      <c r="O87" s="75">
        <f>O88/M88/O89*10000</f>
        <v>104.31034482758621</v>
      </c>
      <c r="P87" s="75">
        <f>P88/O88/P89*10000</f>
        <v>101.72579098753594</v>
      </c>
      <c r="Q87" s="75">
        <f>Q88/O88/Q89*10000</f>
        <v>105.46500479386387</v>
      </c>
      <c r="R87" s="75">
        <f>R88/P88/R89*10000</f>
        <v>100.86455331412105</v>
      </c>
      <c r="S87" s="75">
        <f>S88/Q88/S89*10000</f>
        <v>102.78578290105669</v>
      </c>
      <c r="T87" s="75">
        <f>T88/R88/T89*10000</f>
        <v>100.96153846153847</v>
      </c>
      <c r="U87" s="75">
        <f>U88/S88/U89*10000</f>
        <v>102.8846153846154</v>
      </c>
      <c r="AN87" s="7"/>
      <c r="AP87" s="7"/>
    </row>
    <row r="88" spans="2:42" ht="93.75" x14ac:dyDescent="0.2">
      <c r="B88" s="48">
        <f t="shared" si="39"/>
        <v>28</v>
      </c>
      <c r="C88" s="60" t="s">
        <v>167</v>
      </c>
      <c r="D88" s="50" t="s">
        <v>42</v>
      </c>
      <c r="E88" s="77">
        <v>6.1</v>
      </c>
      <c r="F88" s="8">
        <v>6.4</v>
      </c>
      <c r="G88" s="41">
        <v>6.3</v>
      </c>
      <c r="H88" s="41">
        <f>G88*107%</f>
        <v>6.7410000000000005</v>
      </c>
      <c r="I88" s="51">
        <v>6.7</v>
      </c>
      <c r="J88" s="51">
        <v>11.64123</v>
      </c>
      <c r="K88" s="51">
        <v>12.827959999999999</v>
      </c>
      <c r="L88" s="51">
        <v>12.979837</v>
      </c>
      <c r="M88" s="51">
        <v>17.32</v>
      </c>
      <c r="N88" s="51"/>
      <c r="O88" s="51">
        <f>M88*108.9%</f>
        <v>18.86148</v>
      </c>
      <c r="P88" s="41">
        <f>O88*106.1%</f>
        <v>20.012030279999998</v>
      </c>
      <c r="Q88" s="41">
        <f>O88*110%</f>
        <v>20.747628000000002</v>
      </c>
      <c r="R88" s="41">
        <f>P88*105%</f>
        <v>21.012631793999997</v>
      </c>
      <c r="S88" s="41">
        <f>Q88*107%</f>
        <v>22.199961960000003</v>
      </c>
      <c r="T88" s="41">
        <f>R88*105%</f>
        <v>22.063263383699997</v>
      </c>
      <c r="U88" s="41">
        <f>S88*107%</f>
        <v>23.753959297200005</v>
      </c>
      <c r="V88" s="9">
        <f t="shared" ref="V88:AK88" si="42">U88*107%</f>
        <v>25.416736448004006</v>
      </c>
      <c r="W88" s="9">
        <f t="shared" si="42"/>
        <v>27.195907999364287</v>
      </c>
      <c r="X88" s="9">
        <f t="shared" si="42"/>
        <v>29.09962155931979</v>
      </c>
      <c r="Y88" s="9">
        <f t="shared" si="42"/>
        <v>31.136595068472175</v>
      </c>
      <c r="Z88" s="9">
        <f t="shared" si="42"/>
        <v>33.31615672326523</v>
      </c>
      <c r="AA88" s="9">
        <f t="shared" si="42"/>
        <v>35.648287693893799</v>
      </c>
      <c r="AB88" s="9">
        <f t="shared" si="42"/>
        <v>38.14366783246637</v>
      </c>
      <c r="AC88" s="9">
        <f t="shared" si="42"/>
        <v>40.81372458073902</v>
      </c>
      <c r="AD88" s="9">
        <f t="shared" si="42"/>
        <v>43.670685301390755</v>
      </c>
      <c r="AE88" s="9">
        <f t="shared" si="42"/>
        <v>46.727633272488113</v>
      </c>
      <c r="AF88" s="9">
        <f t="shared" si="42"/>
        <v>49.998567601562286</v>
      </c>
      <c r="AG88" s="9">
        <f t="shared" si="42"/>
        <v>53.498467333671648</v>
      </c>
      <c r="AH88" s="9">
        <f t="shared" si="42"/>
        <v>57.243360047028666</v>
      </c>
      <c r="AI88" s="9">
        <f t="shared" si="42"/>
        <v>61.250395250320679</v>
      </c>
      <c r="AJ88" s="9">
        <f t="shared" si="42"/>
        <v>65.537922917843133</v>
      </c>
      <c r="AK88" s="9">
        <f t="shared" si="42"/>
        <v>70.125577522092158</v>
      </c>
      <c r="AL88" s="9"/>
      <c r="AN88" s="7"/>
      <c r="AP88" s="7"/>
    </row>
    <row r="89" spans="2:42" ht="75" x14ac:dyDescent="0.35">
      <c r="B89" s="48">
        <f t="shared" si="39"/>
        <v>29</v>
      </c>
      <c r="C89" s="60" t="s">
        <v>168</v>
      </c>
      <c r="D89" s="76" t="s">
        <v>33</v>
      </c>
      <c r="E89" s="77">
        <v>99.7</v>
      </c>
      <c r="F89" s="8">
        <v>114.2</v>
      </c>
      <c r="G89" s="72">
        <v>110.1</v>
      </c>
      <c r="H89" s="41">
        <v>100.3</v>
      </c>
      <c r="I89" s="51">
        <v>117</v>
      </c>
      <c r="J89" s="51">
        <v>108.9</v>
      </c>
      <c r="K89" s="51">
        <v>101.9</v>
      </c>
      <c r="L89" s="51">
        <v>117.9</v>
      </c>
      <c r="M89" s="51">
        <v>110.6</v>
      </c>
      <c r="N89" s="51"/>
      <c r="O89" s="51">
        <v>104.4</v>
      </c>
      <c r="P89" s="41">
        <v>104.3</v>
      </c>
      <c r="Q89" s="41">
        <v>104.3</v>
      </c>
      <c r="R89" s="41">
        <v>104.1</v>
      </c>
      <c r="S89" s="41">
        <v>104.1</v>
      </c>
      <c r="T89" s="41">
        <v>104</v>
      </c>
      <c r="U89" s="41">
        <v>104</v>
      </c>
    </row>
    <row r="90" spans="2:42" ht="1.5" customHeight="1" x14ac:dyDescent="0.35">
      <c r="B90" s="48">
        <f t="shared" si="39"/>
        <v>30</v>
      </c>
      <c r="C90" s="60" t="s">
        <v>0</v>
      </c>
      <c r="D90" s="50" t="s">
        <v>1</v>
      </c>
      <c r="E90" s="50"/>
      <c r="F90" s="77"/>
      <c r="G90" s="8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</row>
    <row r="91" spans="2:42" ht="37.5" hidden="1" x14ac:dyDescent="0.35">
      <c r="B91" s="48">
        <f t="shared" si="39"/>
        <v>31</v>
      </c>
      <c r="C91" s="60" t="s">
        <v>3</v>
      </c>
      <c r="D91" s="50" t="s">
        <v>4</v>
      </c>
      <c r="E91" s="50"/>
      <c r="F91" s="79"/>
      <c r="G91" s="8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</row>
    <row r="92" spans="2:42" ht="56.25" hidden="1" x14ac:dyDescent="0.35">
      <c r="B92" s="48">
        <f t="shared" si="39"/>
        <v>32</v>
      </c>
      <c r="C92" s="60" t="s">
        <v>76</v>
      </c>
      <c r="D92" s="50" t="s">
        <v>5</v>
      </c>
      <c r="E92" s="50"/>
      <c r="F92" s="79"/>
      <c r="G92" s="8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</row>
    <row r="93" spans="2:42" s="43" customFormat="1" x14ac:dyDescent="0.35">
      <c r="B93" s="102">
        <v>3</v>
      </c>
      <c r="C93" s="109" t="s">
        <v>104</v>
      </c>
      <c r="D93" s="110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2"/>
      <c r="Q93" s="112"/>
      <c r="R93" s="112"/>
      <c r="S93" s="112"/>
      <c r="T93" s="112"/>
      <c r="U93" s="112"/>
      <c r="V93" s="44"/>
    </row>
    <row r="94" spans="2:42" x14ac:dyDescent="0.35">
      <c r="B94" s="48">
        <v>29</v>
      </c>
      <c r="C94" s="57" t="s">
        <v>6</v>
      </c>
      <c r="D94" s="80" t="s">
        <v>7</v>
      </c>
      <c r="E94" s="80">
        <v>17.600000000000001</v>
      </c>
      <c r="F94" s="8">
        <v>19</v>
      </c>
      <c r="G94" s="8">
        <v>19.8</v>
      </c>
      <c r="H94" s="41">
        <v>19.899999999999999</v>
      </c>
      <c r="I94" s="41">
        <v>20</v>
      </c>
      <c r="J94" s="41">
        <v>15.82</v>
      </c>
      <c r="K94" s="41">
        <v>20.5732</v>
      </c>
      <c r="L94" s="41">
        <v>21.942260000000001</v>
      </c>
      <c r="M94" s="41">
        <v>22.8</v>
      </c>
      <c r="N94" s="41"/>
      <c r="O94" s="41">
        <v>23</v>
      </c>
      <c r="P94" s="41">
        <v>23.2</v>
      </c>
      <c r="Q94" s="41">
        <f>O94*103%</f>
        <v>23.69</v>
      </c>
      <c r="R94" s="41">
        <v>23.5</v>
      </c>
      <c r="S94" s="41">
        <f>Q94*103%</f>
        <v>24.400700000000001</v>
      </c>
      <c r="T94" s="41">
        <v>23.7</v>
      </c>
      <c r="U94" s="41">
        <f>S94*103%</f>
        <v>25.132721</v>
      </c>
    </row>
    <row r="95" spans="2:42" ht="39.75" customHeight="1" x14ac:dyDescent="0.35">
      <c r="B95" s="48">
        <f t="shared" ref="B95:B115" si="43">B94+1</f>
        <v>30</v>
      </c>
      <c r="C95" s="60" t="s">
        <v>8</v>
      </c>
      <c r="D95" s="50" t="s">
        <v>11</v>
      </c>
      <c r="E95" s="50"/>
      <c r="F95" s="8">
        <f>F94/E94/F96*10000</f>
        <v>103.90235366173766</v>
      </c>
      <c r="G95" s="8">
        <f t="shared" ref="G95:H95" si="44">G94/F94/G96*10000</f>
        <v>103.58899236161977</v>
      </c>
      <c r="H95" s="41">
        <f t="shared" si="44"/>
        <v>94.637524016055082</v>
      </c>
      <c r="I95" s="41">
        <f>I94/H94/I96*10000</f>
        <v>96.823229829300658</v>
      </c>
      <c r="J95" s="41">
        <f>J94/I94/J96*10000</f>
        <v>72.10574293527803</v>
      </c>
      <c r="K95" s="41">
        <f>K94/J94/K96*10000</f>
        <v>124.80375432832416</v>
      </c>
      <c r="L95" s="41">
        <f>L94/K94/L96*10000</f>
        <v>109.16538356655273</v>
      </c>
      <c r="M95" s="41">
        <f>M94/L94/M96*10000</f>
        <v>95.945593475546133</v>
      </c>
      <c r="N95" s="41"/>
      <c r="O95" s="41">
        <f>O94/M94/O96*10000</f>
        <v>93.752038087784527</v>
      </c>
      <c r="P95" s="41">
        <f>P94/O94/P96*10000</f>
        <v>96.157831475110854</v>
      </c>
      <c r="Q95" s="41">
        <f>Q94/O94/Q96*10000</f>
        <v>98.188751191611061</v>
      </c>
      <c r="R95" s="41">
        <f>R94/P94/R96*10000</f>
        <v>96.931199472034322</v>
      </c>
      <c r="S95" s="41">
        <f>S94/Q94/S96*10000</f>
        <v>98.564593301435409</v>
      </c>
      <c r="T95" s="41">
        <f>T94/R94/T96*10000</f>
        <v>96.78604974067872</v>
      </c>
      <c r="U95" s="41">
        <f>U94/S94/U96*10000</f>
        <v>98.848368522072931</v>
      </c>
    </row>
    <row r="96" spans="2:42" ht="38.25" customHeight="1" x14ac:dyDescent="0.35">
      <c r="B96" s="48">
        <f t="shared" si="43"/>
        <v>31</v>
      </c>
      <c r="C96" s="60" t="s">
        <v>195</v>
      </c>
      <c r="D96" s="50" t="s">
        <v>56</v>
      </c>
      <c r="E96" s="50"/>
      <c r="F96" s="8">
        <v>103.9</v>
      </c>
      <c r="G96" s="8">
        <v>100.6</v>
      </c>
      <c r="H96" s="72">
        <v>106.2</v>
      </c>
      <c r="I96" s="72">
        <v>103.8</v>
      </c>
      <c r="J96" s="72">
        <v>109.7</v>
      </c>
      <c r="K96" s="72">
        <v>104.2</v>
      </c>
      <c r="L96" s="72">
        <v>97.7</v>
      </c>
      <c r="M96" s="72">
        <v>108.3</v>
      </c>
      <c r="N96" s="72"/>
      <c r="O96" s="72">
        <v>107.6</v>
      </c>
      <c r="P96" s="72">
        <v>104.9</v>
      </c>
      <c r="Q96" s="72">
        <v>104.9</v>
      </c>
      <c r="R96" s="72">
        <v>104.5</v>
      </c>
      <c r="S96" s="72">
        <v>104.5</v>
      </c>
      <c r="T96" s="72">
        <v>104.2</v>
      </c>
      <c r="U96" s="72">
        <v>104.2</v>
      </c>
    </row>
    <row r="97" spans="2:22" ht="0.75" customHeight="1" x14ac:dyDescent="0.35">
      <c r="B97" s="48"/>
      <c r="C97" s="60"/>
      <c r="D97" s="50"/>
      <c r="E97" s="50"/>
      <c r="F97" s="8"/>
      <c r="G97" s="8"/>
      <c r="H97" s="41"/>
      <c r="I97" s="41"/>
      <c r="J97" s="41"/>
      <c r="K97" s="41">
        <v>104.2</v>
      </c>
      <c r="L97" s="41"/>
      <c r="M97" s="41"/>
      <c r="N97" s="41"/>
      <c r="O97" s="41"/>
      <c r="P97" s="41">
        <f>P94/H94*100</f>
        <v>116.58291457286431</v>
      </c>
      <c r="Q97" s="41">
        <f>Q94/H94*100</f>
        <v>119.04522613065329</v>
      </c>
      <c r="R97" s="41">
        <f t="shared" ref="R97:T97" si="45">R94/P94*100</f>
        <v>101.29310344827587</v>
      </c>
      <c r="S97" s="41">
        <f t="shared" si="45"/>
        <v>103</v>
      </c>
      <c r="T97" s="41">
        <f t="shared" si="45"/>
        <v>100.85106382978724</v>
      </c>
      <c r="U97" s="41">
        <f>U94/S94*100</f>
        <v>103</v>
      </c>
    </row>
    <row r="98" spans="2:22" s="43" customFormat="1" x14ac:dyDescent="0.35">
      <c r="B98" s="48">
        <v>4</v>
      </c>
      <c r="C98" s="103" t="s">
        <v>49</v>
      </c>
      <c r="D98" s="103"/>
      <c r="E98" s="103"/>
      <c r="F98" s="107"/>
      <c r="G98" s="107"/>
      <c r="H98" s="113"/>
      <c r="I98" s="113"/>
      <c r="J98" s="113"/>
      <c r="K98" s="113"/>
      <c r="L98" s="113"/>
      <c r="M98" s="113"/>
      <c r="N98" s="113"/>
      <c r="O98" s="113"/>
      <c r="P98" s="108"/>
      <c r="Q98" s="108"/>
      <c r="R98" s="108"/>
      <c r="S98" s="108"/>
      <c r="T98" s="108"/>
      <c r="U98" s="108"/>
      <c r="V98" s="44"/>
    </row>
    <row r="99" spans="2:22" ht="56.25" x14ac:dyDescent="0.35">
      <c r="B99" s="48">
        <v>31</v>
      </c>
      <c r="C99" s="60" t="s">
        <v>77</v>
      </c>
      <c r="D99" s="80" t="s">
        <v>10</v>
      </c>
      <c r="E99" s="59"/>
      <c r="F99" s="8">
        <f>F102*35347/1000</f>
        <v>31.8123</v>
      </c>
      <c r="G99" s="8">
        <f>G102*35347/1000</f>
        <v>34.003813999999998</v>
      </c>
      <c r="H99" s="41">
        <f>H102*64050/1000</f>
        <v>64.818600000000004</v>
      </c>
      <c r="I99" s="41">
        <f>I102*82310/1000</f>
        <v>82.31</v>
      </c>
      <c r="J99" s="41">
        <v>13.977410000000001</v>
      </c>
      <c r="K99" s="41">
        <v>38.158880000000003</v>
      </c>
      <c r="L99" s="41">
        <v>45.749479999999998</v>
      </c>
      <c r="M99" s="41">
        <v>43.928910000000002</v>
      </c>
      <c r="N99" s="41"/>
      <c r="O99" s="41">
        <f>O102*45561.5/1000</f>
        <v>9.1123000000000012</v>
      </c>
      <c r="P99" s="41">
        <f>P102*46000/1000</f>
        <v>46</v>
      </c>
      <c r="Q99" s="41">
        <f>Q102*46500/1000</f>
        <v>46.5</v>
      </c>
      <c r="R99" s="41">
        <f>R102*47000/1000</f>
        <v>47</v>
      </c>
      <c r="S99" s="41">
        <f>S102*47500/1000</f>
        <v>47.5</v>
      </c>
      <c r="T99" s="41">
        <f>T102*48000/1000</f>
        <v>48</v>
      </c>
      <c r="U99" s="41">
        <f>U102*48500/1000</f>
        <v>48.5</v>
      </c>
    </row>
    <row r="100" spans="2:22" ht="37.5" customHeight="1" x14ac:dyDescent="0.35">
      <c r="B100" s="48">
        <f t="shared" si="43"/>
        <v>32</v>
      </c>
      <c r="C100" s="60" t="s">
        <v>78</v>
      </c>
      <c r="D100" s="50" t="s">
        <v>11</v>
      </c>
      <c r="E100" s="50"/>
      <c r="F100" s="8"/>
      <c r="G100" s="8">
        <f t="shared" ref="G100:J100" si="46">G99/F99/G101*10000</f>
        <v>101.60540768905787</v>
      </c>
      <c r="H100" s="41">
        <f t="shared" si="46"/>
        <v>184.71081194077982</v>
      </c>
      <c r="I100" s="41">
        <f t="shared" si="46"/>
        <v>122.3363733097211</v>
      </c>
      <c r="J100" s="41">
        <f t="shared" si="46"/>
        <v>16.359753261379218</v>
      </c>
      <c r="K100" s="41">
        <f>K99/J99/K101*10000</f>
        <v>246.61602522925483</v>
      </c>
      <c r="L100" s="41">
        <f>L99/K99/L101*10000</f>
        <v>112.68053878663987</v>
      </c>
      <c r="M100" s="41">
        <f>M99/L99/M101*10000</f>
        <v>89.072881995493205</v>
      </c>
      <c r="N100" s="41"/>
      <c r="O100" s="41">
        <f>O99/M99/O101*10000</f>
        <v>19.699228185545433</v>
      </c>
      <c r="P100" s="41">
        <f>P99/O99/P101*10000</f>
        <v>482.61202385051831</v>
      </c>
      <c r="Q100" s="41">
        <f>Q99/O99/Q101*10000</f>
        <v>487.85780671845879</v>
      </c>
      <c r="R100" s="41">
        <f>R99/P99/R101*10000</f>
        <v>97.774079467443329</v>
      </c>
      <c r="S100" s="41">
        <f>S99/Q99/S101*10000</f>
        <v>97.75171065493646</v>
      </c>
      <c r="T100" s="41">
        <f>T99/R99/T101*10000</f>
        <v>97.917219150976109</v>
      </c>
      <c r="U100" s="41">
        <f>U99/S99/U101*10000</f>
        <v>97.895746076600915</v>
      </c>
    </row>
    <row r="101" spans="2:22" ht="21.75" customHeight="1" x14ac:dyDescent="0.35">
      <c r="B101" s="48">
        <v>33</v>
      </c>
      <c r="C101" s="60" t="s">
        <v>79</v>
      </c>
      <c r="D101" s="50" t="s">
        <v>33</v>
      </c>
      <c r="E101" s="50"/>
      <c r="F101" s="8">
        <v>105.3</v>
      </c>
      <c r="G101" s="8">
        <v>105.2</v>
      </c>
      <c r="H101" s="72">
        <v>103.2</v>
      </c>
      <c r="I101" s="72">
        <v>103.8</v>
      </c>
      <c r="J101" s="72">
        <v>103.8</v>
      </c>
      <c r="K101" s="72">
        <v>110.7</v>
      </c>
      <c r="L101" s="72">
        <v>106.4</v>
      </c>
      <c r="M101" s="72">
        <v>107.8</v>
      </c>
      <c r="N101" s="72"/>
      <c r="O101" s="72">
        <v>105.3</v>
      </c>
      <c r="P101" s="135">
        <v>104.6</v>
      </c>
      <c r="Q101" s="135">
        <v>104.6</v>
      </c>
      <c r="R101" s="135">
        <v>104.5</v>
      </c>
      <c r="S101" s="75">
        <v>104.5</v>
      </c>
      <c r="T101" s="75">
        <v>104.3</v>
      </c>
      <c r="U101" s="75">
        <v>104.3</v>
      </c>
    </row>
    <row r="102" spans="2:22" ht="21.75" customHeight="1" x14ac:dyDescent="0.35">
      <c r="B102" s="48">
        <v>33</v>
      </c>
      <c r="C102" s="60" t="s">
        <v>12</v>
      </c>
      <c r="D102" s="80" t="s">
        <v>13</v>
      </c>
      <c r="E102" s="80"/>
      <c r="F102" s="8">
        <v>0.9</v>
      </c>
      <c r="G102" s="8">
        <v>0.96199999999999997</v>
      </c>
      <c r="H102" s="41">
        <v>1.012</v>
      </c>
      <c r="I102" s="41">
        <v>1</v>
      </c>
      <c r="J102" s="41">
        <v>0.36</v>
      </c>
      <c r="K102" s="41">
        <v>0.88</v>
      </c>
      <c r="L102" s="41">
        <v>1.0940000000000001</v>
      </c>
      <c r="M102" s="41">
        <v>0.98899999999999999</v>
      </c>
      <c r="N102" s="41"/>
      <c r="O102" s="41">
        <v>0.2</v>
      </c>
      <c r="P102" s="41">
        <v>1</v>
      </c>
      <c r="Q102" s="41">
        <v>1</v>
      </c>
      <c r="R102" s="41">
        <v>1</v>
      </c>
      <c r="S102" s="41">
        <v>1</v>
      </c>
      <c r="T102" s="41">
        <v>1</v>
      </c>
      <c r="U102" s="41">
        <v>1</v>
      </c>
    </row>
    <row r="103" spans="2:22" s="43" customFormat="1" x14ac:dyDescent="0.35">
      <c r="B103" s="48">
        <v>5</v>
      </c>
      <c r="C103" s="103" t="s">
        <v>106</v>
      </c>
      <c r="D103" s="114"/>
      <c r="E103" s="114"/>
      <c r="F103" s="107"/>
      <c r="G103" s="107"/>
      <c r="H103" s="113"/>
      <c r="I103" s="113"/>
      <c r="J103" s="113"/>
      <c r="K103" s="113"/>
      <c r="L103" s="113"/>
      <c r="M103" s="113"/>
      <c r="N103" s="113"/>
      <c r="O103" s="113"/>
      <c r="P103" s="108"/>
      <c r="Q103" s="108"/>
      <c r="R103" s="108"/>
      <c r="S103" s="108"/>
      <c r="T103" s="108"/>
      <c r="U103" s="108"/>
      <c r="V103" s="44"/>
    </row>
    <row r="104" spans="2:22" ht="37.5" x14ac:dyDescent="0.35">
      <c r="B104" s="48">
        <v>34</v>
      </c>
      <c r="C104" s="60" t="s">
        <v>80</v>
      </c>
      <c r="D104" s="50" t="s">
        <v>81</v>
      </c>
      <c r="E104" s="50">
        <v>105.4</v>
      </c>
      <c r="F104" s="8">
        <v>102.5</v>
      </c>
      <c r="G104" s="8">
        <v>104.3</v>
      </c>
      <c r="H104" s="41">
        <v>103</v>
      </c>
      <c r="I104" s="72">
        <v>104.9</v>
      </c>
      <c r="J104" s="72">
        <v>108.4</v>
      </c>
      <c r="K104" s="72">
        <v>111.9</v>
      </c>
      <c r="L104" s="72">
        <v>107.4</v>
      </c>
      <c r="M104" s="72">
        <v>109.5</v>
      </c>
      <c r="N104" s="72"/>
      <c r="O104" s="72">
        <v>107.6</v>
      </c>
      <c r="P104" s="59">
        <v>104</v>
      </c>
      <c r="Q104" s="59">
        <v>104</v>
      </c>
      <c r="R104" s="59">
        <v>104</v>
      </c>
      <c r="S104" s="59">
        <v>104</v>
      </c>
      <c r="T104" s="59">
        <v>104</v>
      </c>
      <c r="U104" s="59">
        <v>104</v>
      </c>
    </row>
    <row r="105" spans="2:22" x14ac:dyDescent="0.35">
      <c r="B105" s="48">
        <f t="shared" si="43"/>
        <v>35</v>
      </c>
      <c r="C105" s="52" t="s">
        <v>82</v>
      </c>
      <c r="D105" s="50" t="s">
        <v>56</v>
      </c>
      <c r="E105" s="8">
        <v>107.1</v>
      </c>
      <c r="F105" s="8">
        <v>103.7</v>
      </c>
      <c r="G105" s="8">
        <v>105</v>
      </c>
      <c r="H105" s="72">
        <v>104.5</v>
      </c>
      <c r="I105" s="72">
        <v>103.4</v>
      </c>
      <c r="J105" s="72">
        <v>106.7</v>
      </c>
      <c r="K105" s="72">
        <v>113.8</v>
      </c>
      <c r="L105" s="72">
        <v>105.9</v>
      </c>
      <c r="M105" s="72">
        <v>108.5</v>
      </c>
      <c r="N105" s="72"/>
      <c r="O105" s="72">
        <v>109.3</v>
      </c>
      <c r="P105" s="59">
        <v>105.4</v>
      </c>
      <c r="Q105" s="59">
        <v>105.4</v>
      </c>
      <c r="R105" s="59">
        <v>104</v>
      </c>
      <c r="S105" s="59">
        <v>104</v>
      </c>
      <c r="T105" s="59">
        <v>104</v>
      </c>
      <c r="U105" s="59">
        <v>104</v>
      </c>
    </row>
    <row r="106" spans="2:22" x14ac:dyDescent="0.35">
      <c r="B106" s="48">
        <f t="shared" si="43"/>
        <v>36</v>
      </c>
      <c r="C106" s="60" t="s">
        <v>15</v>
      </c>
      <c r="D106" s="58" t="s">
        <v>22</v>
      </c>
      <c r="E106" s="8">
        <v>469.66</v>
      </c>
      <c r="F106" s="8">
        <v>473</v>
      </c>
      <c r="G106" s="41">
        <f>F106*101%</f>
        <v>477.73</v>
      </c>
      <c r="H106" s="41">
        <f>G106*101%</f>
        <v>482.50730000000004</v>
      </c>
      <c r="I106" s="41">
        <f>H106*98%</f>
        <v>472.85715400000004</v>
      </c>
      <c r="J106" s="41">
        <v>475.6</v>
      </c>
      <c r="K106" s="41">
        <f>J106*95.5%</f>
        <v>454.19799999999998</v>
      </c>
      <c r="L106" s="41">
        <v>476</v>
      </c>
      <c r="M106" s="41">
        <v>502.2</v>
      </c>
      <c r="N106" s="41"/>
      <c r="O106" s="41">
        <v>507.2</v>
      </c>
      <c r="P106" s="41">
        <v>512.29999999999995</v>
      </c>
      <c r="Q106" s="75">
        <f>O106*103%</f>
        <v>522.41600000000005</v>
      </c>
      <c r="R106" s="75">
        <v>522.5</v>
      </c>
      <c r="S106" s="75">
        <f>Q106*103%</f>
        <v>538.08848000000012</v>
      </c>
      <c r="T106" s="75">
        <v>533</v>
      </c>
      <c r="U106" s="75">
        <f>S106*103%</f>
        <v>554.23113440000009</v>
      </c>
    </row>
    <row r="107" spans="2:22" x14ac:dyDescent="0.35">
      <c r="B107" s="48">
        <f t="shared" si="43"/>
        <v>37</v>
      </c>
      <c r="C107" s="60" t="s">
        <v>83</v>
      </c>
      <c r="D107" s="58" t="s">
        <v>56</v>
      </c>
      <c r="E107" s="58"/>
      <c r="F107" s="8">
        <f>F106/E106*100</f>
        <v>100.71115274879701</v>
      </c>
      <c r="G107" s="8">
        <f t="shared" ref="G107:I107" si="47">G106/F106*100</f>
        <v>101</v>
      </c>
      <c r="H107" s="8">
        <f>H106/G106*100</f>
        <v>101</v>
      </c>
      <c r="I107" s="8">
        <f t="shared" si="47"/>
        <v>98</v>
      </c>
      <c r="J107" s="8">
        <f>J106/I106*100</f>
        <v>100.58005805279622</v>
      </c>
      <c r="K107" s="8">
        <f>K106/J106*100</f>
        <v>95.5</v>
      </c>
      <c r="L107" s="8">
        <f>L106/K106/L108*10000</f>
        <v>100.09561528507653</v>
      </c>
      <c r="M107" s="8">
        <f>M106/L106/M108*10000</f>
        <v>97.961190047049456</v>
      </c>
      <c r="N107" s="8"/>
      <c r="O107" s="8">
        <f>O106/M106/O108*10000</f>
        <v>92.997807804041585</v>
      </c>
      <c r="P107" s="41">
        <f>P106/O106/P108*10000</f>
        <v>96.195733814030334</v>
      </c>
      <c r="Q107" s="41">
        <f>Q106/O106/Q108*10000</f>
        <v>98.095238095238102</v>
      </c>
      <c r="R107" s="41">
        <f>R106/P106/R108*10000</f>
        <v>98.068289313653352</v>
      </c>
      <c r="S107" s="41">
        <f>S106/Q106/S108*10000</f>
        <v>99.038461538461533</v>
      </c>
      <c r="T107" s="41">
        <f>T106/R106/T108*10000</f>
        <v>98.086124401913878</v>
      </c>
      <c r="U107" s="41">
        <f>U106/S106/U108*10000</f>
        <v>99.038461538461533</v>
      </c>
    </row>
    <row r="108" spans="2:22" x14ac:dyDescent="0.35">
      <c r="B108" s="48">
        <f t="shared" si="43"/>
        <v>38</v>
      </c>
      <c r="C108" s="60" t="s">
        <v>20</v>
      </c>
      <c r="D108" s="50" t="s">
        <v>56</v>
      </c>
      <c r="E108" s="50"/>
      <c r="F108" s="8">
        <v>104</v>
      </c>
      <c r="G108" s="8">
        <v>103.1</v>
      </c>
      <c r="H108" s="72">
        <v>104.5</v>
      </c>
      <c r="I108" s="72">
        <v>104.1</v>
      </c>
      <c r="J108" s="72">
        <v>108</v>
      </c>
      <c r="K108" s="72">
        <v>115.4</v>
      </c>
      <c r="L108" s="72">
        <v>104.7</v>
      </c>
      <c r="M108" s="72">
        <v>107.7</v>
      </c>
      <c r="N108" s="72"/>
      <c r="O108" s="72">
        <v>108.6</v>
      </c>
      <c r="P108" s="135">
        <v>105</v>
      </c>
      <c r="Q108" s="135">
        <v>105</v>
      </c>
      <c r="R108" s="135">
        <v>104</v>
      </c>
      <c r="S108" s="135">
        <v>104</v>
      </c>
      <c r="T108" s="75">
        <v>104</v>
      </c>
      <c r="U108" s="75">
        <v>104</v>
      </c>
    </row>
    <row r="109" spans="2:22" x14ac:dyDescent="0.35">
      <c r="B109" s="48">
        <f t="shared" si="43"/>
        <v>39</v>
      </c>
      <c r="C109" s="60" t="s">
        <v>16</v>
      </c>
      <c r="D109" s="58" t="s">
        <v>22</v>
      </c>
      <c r="E109" s="8">
        <v>95</v>
      </c>
      <c r="F109" s="8">
        <v>98</v>
      </c>
      <c r="G109" s="41">
        <f t="shared" ref="G109" si="48">F109*101%</f>
        <v>98.98</v>
      </c>
      <c r="H109" s="41">
        <f t="shared" ref="H109" si="49">G109*101%</f>
        <v>99.969800000000006</v>
      </c>
      <c r="I109" s="93">
        <v>131.19999999999999</v>
      </c>
      <c r="J109" s="93">
        <v>198.8</v>
      </c>
      <c r="K109" s="93">
        <v>186.24</v>
      </c>
      <c r="L109" s="132">
        <v>203.72</v>
      </c>
      <c r="M109" s="132">
        <v>223.1</v>
      </c>
      <c r="N109" s="132"/>
      <c r="O109" s="132">
        <v>224.2</v>
      </c>
      <c r="P109" s="41">
        <v>225.3</v>
      </c>
      <c r="Q109" s="75">
        <f>O109*102%</f>
        <v>228.684</v>
      </c>
      <c r="R109" s="75">
        <v>226.4</v>
      </c>
      <c r="S109" s="75">
        <f>Q109*103%</f>
        <v>235.54452000000001</v>
      </c>
      <c r="T109" s="75">
        <v>227.6</v>
      </c>
      <c r="U109" s="75">
        <f>S109*103%</f>
        <v>242.61085560000001</v>
      </c>
    </row>
    <row r="110" spans="2:22" x14ac:dyDescent="0.35">
      <c r="B110" s="48">
        <f t="shared" si="43"/>
        <v>40</v>
      </c>
      <c r="C110" s="60" t="s">
        <v>84</v>
      </c>
      <c r="D110" s="50" t="s">
        <v>56</v>
      </c>
      <c r="E110" s="50"/>
      <c r="F110" s="8">
        <f>F109/E109*100</f>
        <v>103.15789473684211</v>
      </c>
      <c r="G110" s="8">
        <f t="shared" ref="G110:I110" si="50">G109/F109*100</f>
        <v>101</v>
      </c>
      <c r="H110" s="8">
        <f t="shared" si="50"/>
        <v>101</v>
      </c>
      <c r="I110" s="8">
        <f t="shared" si="50"/>
        <v>131.23963436957959</v>
      </c>
      <c r="J110" s="8">
        <f>J109/I109*100</f>
        <v>151.52439024390245</v>
      </c>
      <c r="K110" s="8">
        <f>K109/J109*100</f>
        <v>93.682092555331991</v>
      </c>
      <c r="L110" s="8">
        <f>L109/K109/L111*10000</f>
        <v>99.986964197088767</v>
      </c>
      <c r="M110" s="8">
        <f>M109/L109/M111*10000</f>
        <v>99.286543188800721</v>
      </c>
      <c r="N110" s="8"/>
      <c r="O110" s="8">
        <f>O109/M109/O111*10000</f>
        <v>90.45279247781346</v>
      </c>
      <c r="P110" s="8">
        <f>P109/O109/P111*10000</f>
        <v>94.713132293184444</v>
      </c>
      <c r="Q110" s="41">
        <f>Q109/O109/Q111*10000</f>
        <v>96.135721017907642</v>
      </c>
      <c r="R110" s="41">
        <f>R109/P109/R111*10000</f>
        <v>96.160993210541179</v>
      </c>
      <c r="S110" s="41">
        <f>S109/Q109/S111*10000</f>
        <v>98.564593301435409</v>
      </c>
      <c r="T110" s="41">
        <f>T109/R109/T111*10000</f>
        <v>96.663495515085629</v>
      </c>
      <c r="U110" s="41">
        <f>U109/S109/U111*10000</f>
        <v>99.038461538461533</v>
      </c>
    </row>
    <row r="111" spans="2:22" x14ac:dyDescent="0.35">
      <c r="B111" s="48">
        <f t="shared" si="43"/>
        <v>41</v>
      </c>
      <c r="C111" s="60" t="s">
        <v>20</v>
      </c>
      <c r="D111" s="50" t="s">
        <v>56</v>
      </c>
      <c r="E111" s="50"/>
      <c r="F111" s="8">
        <v>105.3</v>
      </c>
      <c r="G111" s="72">
        <v>103.9</v>
      </c>
      <c r="H111" s="81">
        <v>105</v>
      </c>
      <c r="I111" s="41">
        <v>103.2</v>
      </c>
      <c r="J111" s="41">
        <v>104.3</v>
      </c>
      <c r="K111" s="41">
        <v>108.2</v>
      </c>
      <c r="L111" s="41">
        <v>109.4</v>
      </c>
      <c r="M111" s="41">
        <v>110.3</v>
      </c>
      <c r="N111" s="41"/>
      <c r="O111" s="41">
        <v>111.1</v>
      </c>
      <c r="P111" s="72">
        <v>106.1</v>
      </c>
      <c r="Q111" s="72">
        <v>106.1</v>
      </c>
      <c r="R111" s="72">
        <v>104.5</v>
      </c>
      <c r="S111" s="72">
        <v>104.5</v>
      </c>
      <c r="T111" s="72">
        <v>104</v>
      </c>
      <c r="U111" s="72">
        <v>104</v>
      </c>
    </row>
    <row r="112" spans="2:22" s="43" customFormat="1" ht="37.5" x14ac:dyDescent="0.35">
      <c r="B112" s="48">
        <v>6</v>
      </c>
      <c r="C112" s="115" t="s">
        <v>107</v>
      </c>
      <c r="D112" s="114"/>
      <c r="E112" s="114"/>
      <c r="F112" s="107"/>
      <c r="G112" s="107"/>
      <c r="H112" s="113"/>
      <c r="I112" s="113"/>
      <c r="J112" s="113"/>
      <c r="K112" s="113"/>
      <c r="L112" s="113"/>
      <c r="M112" s="113"/>
      <c r="N112" s="113"/>
      <c r="O112" s="113"/>
      <c r="P112" s="108"/>
      <c r="Q112" s="108"/>
      <c r="R112" s="108"/>
      <c r="S112" s="108"/>
      <c r="T112" s="108"/>
      <c r="U112" s="108"/>
      <c r="V112" s="44"/>
    </row>
    <row r="113" spans="2:38" ht="37.5" x14ac:dyDescent="0.35">
      <c r="B113" s="48">
        <f>B111+1</f>
        <v>42</v>
      </c>
      <c r="C113" s="60" t="s">
        <v>85</v>
      </c>
      <c r="D113" s="50" t="s">
        <v>17</v>
      </c>
      <c r="E113" s="62">
        <v>101</v>
      </c>
      <c r="F113" s="62">
        <v>99</v>
      </c>
      <c r="G113" s="82">
        <v>130</v>
      </c>
      <c r="H113" s="82">
        <v>131</v>
      </c>
      <c r="I113" s="69">
        <v>96</v>
      </c>
      <c r="J113" s="69">
        <v>136</v>
      </c>
      <c r="K113" s="69">
        <v>119</v>
      </c>
      <c r="L113" s="69">
        <v>134</v>
      </c>
      <c r="M113" s="69">
        <v>125</v>
      </c>
      <c r="N113" s="69"/>
      <c r="O113" s="59">
        <v>130</v>
      </c>
      <c r="P113" s="82">
        <v>132</v>
      </c>
      <c r="Q113" s="82">
        <v>135</v>
      </c>
      <c r="R113" s="82">
        <v>135</v>
      </c>
      <c r="S113" s="82">
        <v>140</v>
      </c>
      <c r="T113" s="82">
        <v>138</v>
      </c>
      <c r="U113" s="82">
        <v>142</v>
      </c>
    </row>
    <row r="114" spans="2:38" ht="56.25" x14ac:dyDescent="0.35">
      <c r="B114" s="48">
        <f t="shared" si="43"/>
        <v>43</v>
      </c>
      <c r="C114" s="60" t="s">
        <v>45</v>
      </c>
      <c r="D114" s="80" t="s">
        <v>18</v>
      </c>
      <c r="E114" s="61">
        <v>559</v>
      </c>
      <c r="F114" s="62">
        <v>548</v>
      </c>
      <c r="G114" s="68">
        <v>719</v>
      </c>
      <c r="H114" s="68">
        <f t="shared" ref="H114:J114" si="51">H113*G114/G113</f>
        <v>724.53076923076924</v>
      </c>
      <c r="I114" s="68">
        <f t="shared" si="51"/>
        <v>530.95384615384614</v>
      </c>
      <c r="J114" s="68">
        <f t="shared" si="51"/>
        <v>752.18461538461543</v>
      </c>
      <c r="K114" s="68">
        <f>K113*J114/J113</f>
        <v>658.1615384615385</v>
      </c>
      <c r="L114" s="68">
        <v>381</v>
      </c>
      <c r="M114" s="68">
        <v>392</v>
      </c>
      <c r="N114" s="68"/>
      <c r="O114" s="68">
        <v>394</v>
      </c>
      <c r="P114" s="68">
        <f>P113*O114/O113</f>
        <v>400.06153846153848</v>
      </c>
      <c r="Q114" s="68">
        <f>Q113*O114/O113</f>
        <v>409.15384615384613</v>
      </c>
      <c r="R114" s="134">
        <f>R113*P114/P113</f>
        <v>409.15384615384619</v>
      </c>
      <c r="S114" s="134">
        <f>S113*Q114/Q113</f>
        <v>424.30769230769232</v>
      </c>
      <c r="T114" s="134">
        <f>T113*R114/R113</f>
        <v>418.2461538461539</v>
      </c>
      <c r="U114" s="134">
        <f>U113*S114/S113</f>
        <v>430.3692307692308</v>
      </c>
    </row>
    <row r="115" spans="2:38" ht="37.5" x14ac:dyDescent="0.35">
      <c r="B115" s="48">
        <f t="shared" si="43"/>
        <v>44</v>
      </c>
      <c r="C115" s="60" t="s">
        <v>44</v>
      </c>
      <c r="D115" s="50" t="s">
        <v>42</v>
      </c>
      <c r="E115" s="79">
        <f>E29+E45+E85+E88+E106+E109</f>
        <v>795.81000000000006</v>
      </c>
      <c r="F115" s="79">
        <f t="shared" ref="F115:I115" si="52">F29+F45+F85+F88+F106+F109</f>
        <v>870.89</v>
      </c>
      <c r="G115" s="79">
        <f t="shared" si="52"/>
        <v>897.72</v>
      </c>
      <c r="H115" s="79">
        <f t="shared" si="52"/>
        <v>942.94309999999996</v>
      </c>
      <c r="I115" s="79">
        <f t="shared" si="52"/>
        <v>915.70715400000017</v>
      </c>
      <c r="J115" s="79">
        <f>J29+J45+J85+J88+J106+J109</f>
        <v>932.10957000000008</v>
      </c>
      <c r="K115" s="79">
        <f>K29+K45+K85+K88+K106+K109</f>
        <v>883.78527999999994</v>
      </c>
      <c r="L115" s="79">
        <f>L29+L45+L85+L88+L106+L109</f>
        <v>944.164492</v>
      </c>
      <c r="M115" s="79">
        <v>1452.0909999999999</v>
      </c>
      <c r="N115" s="79"/>
      <c r="O115" s="79">
        <f>M115*102%</f>
        <v>1481.1328199999998</v>
      </c>
      <c r="P115" s="79">
        <f>O115*102%</f>
        <v>1510.7554763999999</v>
      </c>
      <c r="Q115" s="79">
        <f>O115*105%</f>
        <v>1555.1894609999999</v>
      </c>
      <c r="R115" s="79">
        <f>P115*102%</f>
        <v>1540.970585928</v>
      </c>
      <c r="S115" s="79">
        <f>Q115*105%</f>
        <v>1632.9489340499999</v>
      </c>
      <c r="T115" s="79">
        <f>R115*102%</f>
        <v>1571.7899976465601</v>
      </c>
      <c r="U115" s="79">
        <f>S115*105%</f>
        <v>1714.5963807525</v>
      </c>
      <c r="AL115" s="133"/>
    </row>
    <row r="116" spans="2:38" s="43" customFormat="1" x14ac:dyDescent="0.35">
      <c r="B116" s="48">
        <v>7</v>
      </c>
      <c r="C116" s="103" t="s">
        <v>108</v>
      </c>
      <c r="D116" s="114"/>
      <c r="E116" s="114"/>
      <c r="F116" s="107"/>
      <c r="G116" s="107"/>
      <c r="H116" s="113"/>
      <c r="I116" s="113"/>
      <c r="J116" s="113"/>
      <c r="K116" s="113"/>
      <c r="L116" s="113"/>
      <c r="M116" s="113"/>
      <c r="N116" s="113"/>
      <c r="O116" s="113"/>
      <c r="P116" s="108"/>
      <c r="Q116" s="108"/>
      <c r="R116" s="108"/>
      <c r="S116" s="108"/>
      <c r="T116" s="108"/>
      <c r="U116" s="108"/>
      <c r="V116" s="44"/>
    </row>
    <row r="117" spans="2:38" x14ac:dyDescent="0.35">
      <c r="B117" s="48">
        <f>B115+1</f>
        <v>45</v>
      </c>
      <c r="C117" s="57" t="s">
        <v>19</v>
      </c>
      <c r="D117" s="50" t="s">
        <v>22</v>
      </c>
      <c r="E117" s="79">
        <f t="shared" ref="E117:J117" si="53">E122+E127</f>
        <v>44.709999999999994</v>
      </c>
      <c r="F117" s="79">
        <f t="shared" si="53"/>
        <v>40.08</v>
      </c>
      <c r="G117" s="79">
        <f t="shared" si="53"/>
        <v>84.101599999999991</v>
      </c>
      <c r="H117" s="79">
        <f t="shared" si="53"/>
        <v>69.53398</v>
      </c>
      <c r="I117" s="81">
        <f t="shared" si="53"/>
        <v>92.551711299999994</v>
      </c>
      <c r="J117" s="51">
        <f t="shared" si="53"/>
        <v>50.617819999999995</v>
      </c>
      <c r="K117" s="81">
        <f>K122+K127</f>
        <v>171.51554899999996</v>
      </c>
      <c r="L117" s="81">
        <f>L122+L127</f>
        <v>82.40997999999999</v>
      </c>
      <c r="M117" s="81">
        <f>M122+M127</f>
        <v>199.41405</v>
      </c>
      <c r="N117" s="81"/>
      <c r="O117" s="51">
        <f>O122+O127</f>
        <v>82.211525960000003</v>
      </c>
      <c r="P117" s="79">
        <f t="shared" ref="P117:U117" si="54">P122+P127</f>
        <v>133.15067399999998</v>
      </c>
      <c r="Q117" s="79">
        <f t="shared" si="54"/>
        <v>134.15067399999998</v>
      </c>
      <c r="R117" s="79">
        <f t="shared" si="54"/>
        <v>227.7799</v>
      </c>
      <c r="S117" s="79">
        <f t="shared" si="54"/>
        <v>396.89797999999996</v>
      </c>
      <c r="T117" s="79">
        <f t="shared" si="54"/>
        <v>1469.1476799999998</v>
      </c>
      <c r="U117" s="79">
        <f t="shared" si="54"/>
        <v>1542.3300999999999</v>
      </c>
    </row>
    <row r="118" spans="2:38" x14ac:dyDescent="0.35">
      <c r="B118" s="48">
        <f>B117+1</f>
        <v>46</v>
      </c>
      <c r="C118" s="57" t="s">
        <v>86</v>
      </c>
      <c r="D118" s="50" t="s">
        <v>56</v>
      </c>
      <c r="E118" s="8">
        <v>137.69999999999999</v>
      </c>
      <c r="F118" s="8">
        <f t="shared" ref="F118:I118" si="55">F117/E117*100</f>
        <v>89.644374860210249</v>
      </c>
      <c r="G118" s="41">
        <f t="shared" si="55"/>
        <v>209.83433133732535</v>
      </c>
      <c r="H118" s="41">
        <f t="shared" si="55"/>
        <v>82.678545949185278</v>
      </c>
      <c r="I118" s="41">
        <f t="shared" si="55"/>
        <v>133.10285316617859</v>
      </c>
      <c r="J118" s="41">
        <f>J117/I117*100</f>
        <v>54.691392832192832</v>
      </c>
      <c r="K118" s="41">
        <f>K117/J117*100</f>
        <v>338.84420348406945</v>
      </c>
      <c r="L118" s="41">
        <f>L117/K117*100</f>
        <v>48.04811020369938</v>
      </c>
      <c r="M118" s="41">
        <f>M117/L117*100</f>
        <v>241.97803469919546</v>
      </c>
      <c r="N118" s="41"/>
      <c r="O118" s="41">
        <f>O117/M117/O119*10000</f>
        <v>38.243549586711502</v>
      </c>
      <c r="P118" s="41">
        <f>P117/O117*100</f>
        <v>161.96107838307782</v>
      </c>
      <c r="Q118" s="41">
        <f>Q117/O117*100</f>
        <v>163.17745283705224</v>
      </c>
      <c r="R118" s="41">
        <f>R117/P117*100</f>
        <v>171.06928050548211</v>
      </c>
      <c r="S118" s="41">
        <f>S117/Q117*100</f>
        <v>295.85984786032458</v>
      </c>
      <c r="T118" s="41">
        <f>T117/R117*100</f>
        <v>644.98565501170197</v>
      </c>
      <c r="U118" s="41">
        <f>U117/S117*100</f>
        <v>388.59610724146296</v>
      </c>
    </row>
    <row r="119" spans="2:38" ht="23.25" customHeight="1" x14ac:dyDescent="0.35">
      <c r="B119" s="48">
        <f t="shared" ref="B119:B131" si="56">B118+1</f>
        <v>47</v>
      </c>
      <c r="C119" s="60" t="s">
        <v>20</v>
      </c>
      <c r="D119" s="50" t="s">
        <v>56</v>
      </c>
      <c r="E119" s="8">
        <v>106.3</v>
      </c>
      <c r="F119" s="8">
        <v>103.7</v>
      </c>
      <c r="G119" s="72">
        <v>105.3</v>
      </c>
      <c r="H119" s="72">
        <v>106.8</v>
      </c>
      <c r="I119" s="69">
        <v>105.6</v>
      </c>
      <c r="J119" s="59">
        <v>104.9</v>
      </c>
      <c r="K119" s="69">
        <v>114.6</v>
      </c>
      <c r="L119" s="69">
        <v>109.1</v>
      </c>
      <c r="M119" s="69">
        <v>108.1</v>
      </c>
      <c r="N119" s="69"/>
      <c r="O119" s="69">
        <v>107.8</v>
      </c>
      <c r="P119" s="72">
        <v>105.3</v>
      </c>
      <c r="Q119" s="72">
        <v>105.3</v>
      </c>
      <c r="R119" s="72">
        <v>104.4</v>
      </c>
      <c r="S119" s="72">
        <v>104.4</v>
      </c>
      <c r="T119" s="72">
        <v>104.3</v>
      </c>
      <c r="U119" s="72">
        <v>104.3</v>
      </c>
    </row>
    <row r="120" spans="2:38" hidden="1" x14ac:dyDescent="0.35">
      <c r="B120" s="48">
        <f t="shared" si="56"/>
        <v>48</v>
      </c>
      <c r="C120" s="52" t="s">
        <v>129</v>
      </c>
      <c r="D120" s="50" t="s">
        <v>14</v>
      </c>
      <c r="E120" s="50"/>
      <c r="F120" s="8"/>
      <c r="G120" s="8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51"/>
      <c r="T120" s="41"/>
      <c r="U120" s="51"/>
    </row>
    <row r="121" spans="2:38" ht="39" hidden="1" x14ac:dyDescent="0.35">
      <c r="B121" s="48">
        <v>48</v>
      </c>
      <c r="C121" s="116" t="s">
        <v>87</v>
      </c>
      <c r="D121" s="114"/>
      <c r="E121" s="114"/>
      <c r="F121" s="107"/>
      <c r="G121" s="107"/>
      <c r="H121" s="113"/>
      <c r="I121" s="113"/>
      <c r="J121" s="113"/>
      <c r="K121" s="113"/>
      <c r="L121" s="113"/>
      <c r="M121" s="113"/>
      <c r="N121" s="113"/>
      <c r="O121" s="113"/>
      <c r="P121" s="108"/>
      <c r="Q121" s="108"/>
      <c r="R121" s="108"/>
      <c r="S121" s="108"/>
      <c r="T121" s="108"/>
      <c r="U121" s="108"/>
    </row>
    <row r="122" spans="2:38" hidden="1" x14ac:dyDescent="0.35">
      <c r="B122" s="48">
        <f t="shared" si="56"/>
        <v>49</v>
      </c>
      <c r="C122" s="57" t="s">
        <v>21</v>
      </c>
      <c r="D122" s="50" t="s">
        <v>22</v>
      </c>
      <c r="E122" s="51">
        <v>17.29</v>
      </c>
      <c r="F122" s="51">
        <v>35</v>
      </c>
      <c r="G122" s="51">
        <v>60.53</v>
      </c>
      <c r="H122" s="51">
        <v>59.6</v>
      </c>
      <c r="I122" s="51">
        <v>82.03</v>
      </c>
      <c r="J122" s="51">
        <v>19.690079999999998</v>
      </c>
      <c r="K122" s="51">
        <v>69.529899999999998</v>
      </c>
      <c r="L122" s="51">
        <v>53.99288</v>
      </c>
      <c r="M122" s="51">
        <v>73.076220000000006</v>
      </c>
      <c r="N122" s="51"/>
      <c r="O122" s="51">
        <v>35.229680960000003</v>
      </c>
      <c r="P122" s="51">
        <v>51.2</v>
      </c>
      <c r="Q122" s="51">
        <v>52.2</v>
      </c>
      <c r="R122" s="51">
        <v>52.2</v>
      </c>
      <c r="S122" s="51">
        <v>52.7</v>
      </c>
      <c r="T122" s="51">
        <v>53.2</v>
      </c>
      <c r="U122" s="51">
        <v>53.7</v>
      </c>
    </row>
    <row r="123" spans="2:38" hidden="1" x14ac:dyDescent="0.35">
      <c r="B123" s="48">
        <f t="shared" si="56"/>
        <v>50</v>
      </c>
      <c r="C123" s="57" t="s">
        <v>88</v>
      </c>
      <c r="D123" s="50" t="s">
        <v>22</v>
      </c>
      <c r="E123" s="8"/>
      <c r="F123" s="8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83"/>
    </row>
    <row r="124" spans="2:38" hidden="1" x14ac:dyDescent="0.35">
      <c r="B124" s="48">
        <f t="shared" si="56"/>
        <v>51</v>
      </c>
      <c r="C124" s="60" t="s">
        <v>89</v>
      </c>
      <c r="D124" s="50" t="s">
        <v>22</v>
      </c>
      <c r="E124" s="8"/>
      <c r="F124" s="8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83"/>
    </row>
    <row r="125" spans="2:38" hidden="1" x14ac:dyDescent="0.35">
      <c r="B125" s="48">
        <f t="shared" si="56"/>
        <v>52</v>
      </c>
      <c r="C125" s="60" t="s">
        <v>90</v>
      </c>
      <c r="D125" s="50" t="s">
        <v>22</v>
      </c>
      <c r="E125" s="8"/>
      <c r="F125" s="8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83"/>
    </row>
    <row r="126" spans="2:38" hidden="1" x14ac:dyDescent="0.35">
      <c r="B126" s="48">
        <f t="shared" si="56"/>
        <v>53</v>
      </c>
      <c r="C126" s="60" t="s">
        <v>23</v>
      </c>
      <c r="D126" s="50" t="s">
        <v>22</v>
      </c>
      <c r="E126" s="8"/>
      <c r="F126" s="8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83"/>
    </row>
    <row r="127" spans="2:38" ht="18.75" hidden="1" x14ac:dyDescent="0.2">
      <c r="B127" s="48">
        <v>50</v>
      </c>
      <c r="C127" s="60" t="s">
        <v>91</v>
      </c>
      <c r="D127" s="50" t="s">
        <v>22</v>
      </c>
      <c r="E127" s="8">
        <f>SUM(E128:E130)</f>
        <v>27.419999999999998</v>
      </c>
      <c r="F127" s="8">
        <f t="shared" ref="F127" si="57">SUM(F128:F130)</f>
        <v>5.08</v>
      </c>
      <c r="G127" s="41">
        <f>SUM(G128:G130)</f>
        <v>23.571599999999997</v>
      </c>
      <c r="H127" s="41">
        <f t="shared" ref="H127:AK127" si="58">SUM(H128:H130)</f>
        <v>9.93398</v>
      </c>
      <c r="I127" s="41">
        <f t="shared" si="58"/>
        <v>10.5217113</v>
      </c>
      <c r="J127" s="41">
        <f>SUM(J128:J130)</f>
        <v>30.92774</v>
      </c>
      <c r="K127" s="41">
        <f>SUM(K128:K131)</f>
        <v>101.98564899999998</v>
      </c>
      <c r="L127" s="41">
        <f>L128+L129+L130+L131</f>
        <v>28.417099999999998</v>
      </c>
      <c r="M127" s="41">
        <f>M128+M129+M130+M131</f>
        <v>126.33783</v>
      </c>
      <c r="N127" s="41"/>
      <c r="O127" s="41">
        <f>O128+O129+O130+O131</f>
        <v>46.981845</v>
      </c>
      <c r="P127" s="41">
        <f>P128+P129+P130+P131</f>
        <v>81.950673999999992</v>
      </c>
      <c r="Q127" s="41">
        <f>Q128+Q129+Q130+Q131</f>
        <v>81.950673999999992</v>
      </c>
      <c r="R127" s="41">
        <f t="shared" si="58"/>
        <v>175.57990000000001</v>
      </c>
      <c r="S127" s="41">
        <f t="shared" si="58"/>
        <v>344.19797999999997</v>
      </c>
      <c r="T127" s="41">
        <f t="shared" si="58"/>
        <v>1415.9476799999998</v>
      </c>
      <c r="U127" s="41">
        <f t="shared" si="58"/>
        <v>1488.6300999999999</v>
      </c>
      <c r="V127" s="47">
        <f t="shared" si="58"/>
        <v>0</v>
      </c>
      <c r="W127" s="47">
        <f t="shared" si="58"/>
        <v>0</v>
      </c>
      <c r="X127" s="47">
        <f t="shared" si="58"/>
        <v>0</v>
      </c>
      <c r="Y127" s="47">
        <f t="shared" si="58"/>
        <v>0</v>
      </c>
      <c r="Z127" s="47">
        <f t="shared" si="58"/>
        <v>0</v>
      </c>
      <c r="AA127" s="47">
        <f t="shared" si="58"/>
        <v>0</v>
      </c>
      <c r="AB127" s="47">
        <f t="shared" si="58"/>
        <v>0</v>
      </c>
      <c r="AC127" s="47">
        <f t="shared" si="58"/>
        <v>0</v>
      </c>
      <c r="AD127" s="47">
        <f t="shared" si="58"/>
        <v>0</v>
      </c>
      <c r="AE127" s="47">
        <f t="shared" si="58"/>
        <v>0</v>
      </c>
      <c r="AF127" s="47">
        <f t="shared" si="58"/>
        <v>0</v>
      </c>
      <c r="AG127" s="47">
        <f t="shared" si="58"/>
        <v>0</v>
      </c>
      <c r="AH127" s="47">
        <f t="shared" si="58"/>
        <v>0</v>
      </c>
      <c r="AI127" s="47">
        <f t="shared" si="58"/>
        <v>0</v>
      </c>
      <c r="AJ127" s="47">
        <f t="shared" si="58"/>
        <v>0</v>
      </c>
      <c r="AK127" s="47">
        <f t="shared" si="58"/>
        <v>0</v>
      </c>
      <c r="AL127" s="47"/>
    </row>
    <row r="128" spans="2:38" hidden="1" x14ac:dyDescent="0.35">
      <c r="B128" s="48">
        <f t="shared" si="56"/>
        <v>51</v>
      </c>
      <c r="C128" s="57" t="s">
        <v>92</v>
      </c>
      <c r="D128" s="50" t="s">
        <v>22</v>
      </c>
      <c r="E128" s="8"/>
      <c r="F128" s="8">
        <v>2.5390000000000001</v>
      </c>
      <c r="G128" s="51">
        <v>2.5369999999999999</v>
      </c>
      <c r="H128" s="51">
        <v>3.51</v>
      </c>
      <c r="I128" s="51">
        <f>4.029+3.37049</f>
        <v>7.3994900000000001</v>
      </c>
      <c r="J128" s="51">
        <v>12.06259</v>
      </c>
      <c r="K128" s="51">
        <v>41.189079999999997</v>
      </c>
      <c r="L128" s="51">
        <v>21.848859999999998</v>
      </c>
      <c r="M128" s="51">
        <v>107.44117</v>
      </c>
      <c r="N128" s="51"/>
      <c r="O128" s="51">
        <v>3.2102349999999999</v>
      </c>
      <c r="P128" s="51">
        <v>70.700419999999994</v>
      </c>
      <c r="Q128" s="51">
        <v>70.700419999999994</v>
      </c>
      <c r="R128" s="51">
        <v>160.9803</v>
      </c>
      <c r="S128" s="51">
        <v>308.62279999999998</v>
      </c>
      <c r="T128" s="51">
        <v>1380.81</v>
      </c>
      <c r="U128" s="51">
        <v>1438.2729999999999</v>
      </c>
    </row>
    <row r="129" spans="2:39" hidden="1" x14ac:dyDescent="0.35">
      <c r="B129" s="48">
        <f t="shared" si="56"/>
        <v>52</v>
      </c>
      <c r="C129" s="57" t="s">
        <v>93</v>
      </c>
      <c r="D129" s="50" t="s">
        <v>22</v>
      </c>
      <c r="E129" s="8">
        <v>25.56</v>
      </c>
      <c r="F129" s="8">
        <f>2.35+0.191</f>
        <v>2.5409999999999999</v>
      </c>
      <c r="G129" s="51">
        <f>12+2.185+0.1619+3.6</f>
        <v>17.946899999999999</v>
      </c>
      <c r="H129" s="51">
        <f>1.947+0.07165+3.97575</f>
        <v>5.9944000000000006</v>
      </c>
      <c r="I129" s="51">
        <f>1.4+0.068785+0.541498+0.475+0.361</f>
        <v>2.8462830000000006</v>
      </c>
      <c r="J129" s="51">
        <v>11.212569999999999</v>
      </c>
      <c r="K129" s="51">
        <v>59.248199999999997</v>
      </c>
      <c r="L129" s="51">
        <v>6.3254799999999998</v>
      </c>
      <c r="M129" s="51">
        <v>6.1500300000000001</v>
      </c>
      <c r="N129" s="51"/>
      <c r="O129" s="51">
        <v>28.889060000000001</v>
      </c>
      <c r="P129" s="51">
        <v>4.1571410000000002</v>
      </c>
      <c r="Q129" s="51">
        <v>4.1571410000000002</v>
      </c>
      <c r="R129" s="51">
        <v>12.50662</v>
      </c>
      <c r="S129" s="51">
        <v>33.482199999999999</v>
      </c>
      <c r="T129" s="51">
        <v>33.044699999999999</v>
      </c>
      <c r="U129" s="51">
        <v>48.264119999999998</v>
      </c>
    </row>
    <row r="130" spans="2:39" hidden="1" x14ac:dyDescent="0.35">
      <c r="B130" s="48">
        <f t="shared" si="56"/>
        <v>53</v>
      </c>
      <c r="C130" s="57" t="s">
        <v>94</v>
      </c>
      <c r="D130" s="50" t="s">
        <v>22</v>
      </c>
      <c r="E130" s="8">
        <v>1.86</v>
      </c>
      <c r="F130" s="8"/>
      <c r="G130" s="51">
        <f>0.115+0.0027+2.57+0.4</f>
        <v>3.0876999999999999</v>
      </c>
      <c r="H130" s="51">
        <f>0.217+0.00358+0.209</f>
        <v>0.42957999999999996</v>
      </c>
      <c r="I130" s="51">
        <f>0.2+0.028499+0.025+0.019+0.0034393</f>
        <v>0.27593830000000003</v>
      </c>
      <c r="J130" s="51">
        <v>7.6525800000000004</v>
      </c>
      <c r="K130" s="51">
        <v>1.224369</v>
      </c>
      <c r="L130" s="51">
        <v>0.22875999999999999</v>
      </c>
      <c r="M130" s="51">
        <v>2.7466300000000001</v>
      </c>
      <c r="N130" s="51"/>
      <c r="O130" s="51">
        <v>14.752549999999999</v>
      </c>
      <c r="P130" s="51">
        <v>7.0931129999999998</v>
      </c>
      <c r="Q130" s="51">
        <v>7.0931129999999998</v>
      </c>
      <c r="R130" s="51">
        <v>2.0929799999999998</v>
      </c>
      <c r="S130" s="51">
        <v>2.0929799999999998</v>
      </c>
      <c r="T130" s="51">
        <v>2.0929799999999998</v>
      </c>
      <c r="U130" s="51">
        <v>2.0929799999999998</v>
      </c>
    </row>
    <row r="131" spans="2:39" hidden="1" x14ac:dyDescent="0.35">
      <c r="B131" s="48">
        <f t="shared" si="56"/>
        <v>54</v>
      </c>
      <c r="C131" s="60" t="s">
        <v>24</v>
      </c>
      <c r="D131" s="50" t="s">
        <v>22</v>
      </c>
      <c r="E131" s="50"/>
      <c r="F131" s="8"/>
      <c r="G131" s="8"/>
      <c r="H131" s="51"/>
      <c r="I131" s="51"/>
      <c r="J131" s="51"/>
      <c r="K131" s="51">
        <v>0.32400000000000001</v>
      </c>
      <c r="L131" s="51">
        <v>1.4E-2</v>
      </c>
      <c r="M131" s="51">
        <v>10</v>
      </c>
      <c r="N131" s="51"/>
      <c r="O131" s="51">
        <v>0.13</v>
      </c>
      <c r="P131" s="51">
        <v>0</v>
      </c>
      <c r="Q131" s="51">
        <v>0</v>
      </c>
      <c r="R131" s="51">
        <v>0</v>
      </c>
      <c r="S131" s="51">
        <v>0</v>
      </c>
      <c r="T131" s="51">
        <v>0</v>
      </c>
      <c r="U131" s="51">
        <v>0</v>
      </c>
    </row>
    <row r="132" spans="2:39" s="43" customFormat="1" ht="38.25" x14ac:dyDescent="0.35">
      <c r="B132" s="48">
        <v>8</v>
      </c>
      <c r="C132" s="122" t="s">
        <v>187</v>
      </c>
      <c r="D132" s="50"/>
      <c r="E132" s="50"/>
      <c r="F132" s="8"/>
      <c r="G132" s="8"/>
      <c r="H132" s="41"/>
      <c r="I132" s="41"/>
      <c r="J132" s="41"/>
      <c r="K132" s="41"/>
      <c r="L132" s="41"/>
      <c r="M132" s="41"/>
      <c r="N132" s="41"/>
      <c r="O132" s="41"/>
      <c r="P132" s="51"/>
      <c r="Q132" s="51"/>
      <c r="R132" s="51"/>
      <c r="S132" s="51"/>
      <c r="T132" s="51"/>
      <c r="U132" s="51"/>
      <c r="V132" s="44"/>
    </row>
    <row r="133" spans="2:39" x14ac:dyDescent="0.35">
      <c r="B133" s="48">
        <v>55</v>
      </c>
      <c r="C133" s="123" t="s">
        <v>188</v>
      </c>
      <c r="D133" s="50" t="s">
        <v>7</v>
      </c>
      <c r="E133" s="50">
        <f t="shared" ref="E133:I133" si="59">E134+E142</f>
        <v>0</v>
      </c>
      <c r="F133" s="56">
        <f>F134+F142</f>
        <v>16.586698999999999</v>
      </c>
      <c r="G133" s="56">
        <f t="shared" si="59"/>
        <v>15.391988359999999</v>
      </c>
      <c r="H133" s="56">
        <f t="shared" si="59"/>
        <v>16.12</v>
      </c>
      <c r="I133" s="56">
        <f t="shared" si="59"/>
        <v>19.61</v>
      </c>
      <c r="J133" s="56">
        <f>J134+J142</f>
        <v>19.559999999999999</v>
      </c>
      <c r="K133" s="56">
        <v>19.61</v>
      </c>
      <c r="L133" s="56">
        <f>L134+L142</f>
        <v>22.290000000000003</v>
      </c>
      <c r="M133" s="56">
        <f>M134+M142</f>
        <v>26.348000000000003</v>
      </c>
      <c r="N133" s="56"/>
      <c r="O133" s="56">
        <f>O134+O142</f>
        <v>24.703999999999997</v>
      </c>
      <c r="P133" s="56">
        <f t="shared" ref="P133:U133" si="60">P134+P142</f>
        <v>26.470000000000006</v>
      </c>
      <c r="Q133" s="56">
        <f t="shared" si="60"/>
        <v>26.470000000000006</v>
      </c>
      <c r="R133" s="56">
        <f t="shared" si="60"/>
        <v>28.349999999999998</v>
      </c>
      <c r="S133" s="56">
        <f t="shared" si="60"/>
        <v>28.349999999999998</v>
      </c>
      <c r="T133" s="56">
        <f t="shared" si="60"/>
        <v>29.97</v>
      </c>
      <c r="U133" s="56">
        <f t="shared" si="60"/>
        <v>29.97</v>
      </c>
    </row>
    <row r="134" spans="2:39" ht="19.5" x14ac:dyDescent="0.2">
      <c r="B134" s="48">
        <f t="shared" ref="B134:B180" si="61">B133+1</f>
        <v>56</v>
      </c>
      <c r="C134" s="123" t="s">
        <v>111</v>
      </c>
      <c r="D134" s="50" t="s">
        <v>25</v>
      </c>
      <c r="E134" s="50">
        <f t="shared" ref="E134:I134" si="62">E135+E141</f>
        <v>0</v>
      </c>
      <c r="F134" s="56">
        <f>F135+F141</f>
        <v>14.27</v>
      </c>
      <c r="G134" s="56">
        <f t="shared" si="62"/>
        <v>15.381976</v>
      </c>
      <c r="H134" s="124">
        <f t="shared" si="62"/>
        <v>16.11</v>
      </c>
      <c r="I134" s="124">
        <f t="shared" si="62"/>
        <v>19.599999999999998</v>
      </c>
      <c r="J134" s="124">
        <f>J135+J141</f>
        <v>19.549999999999997</v>
      </c>
      <c r="K134" s="56">
        <v>16.600000000000001</v>
      </c>
      <c r="L134" s="56">
        <f>L135+L141</f>
        <v>22.28</v>
      </c>
      <c r="M134" s="56">
        <f>M135+M141</f>
        <v>26.336000000000002</v>
      </c>
      <c r="N134" s="56"/>
      <c r="O134" s="56">
        <f>O135+O141</f>
        <v>24.703999999999997</v>
      </c>
      <c r="P134" s="56">
        <f t="shared" ref="P134:U134" si="63">P135+P141</f>
        <v>26.470000000000006</v>
      </c>
      <c r="Q134" s="56">
        <f t="shared" si="63"/>
        <v>26.470000000000006</v>
      </c>
      <c r="R134" s="56">
        <f t="shared" si="63"/>
        <v>28.349999999999998</v>
      </c>
      <c r="S134" s="56">
        <f t="shared" si="63"/>
        <v>28.349999999999998</v>
      </c>
      <c r="T134" s="56">
        <f t="shared" si="63"/>
        <v>29.97</v>
      </c>
      <c r="U134" s="56">
        <f t="shared" si="63"/>
        <v>29.97</v>
      </c>
      <c r="V134" s="14">
        <f t="shared" ref="V134" si="64">V135+V141</f>
        <v>15.459999999999999</v>
      </c>
      <c r="W134" s="14">
        <f t="shared" ref="W134" si="65">W135+W141</f>
        <v>15.459999999999999</v>
      </c>
      <c r="X134" s="14">
        <f t="shared" ref="X134" si="66">X135+X141</f>
        <v>15.459999999999999</v>
      </c>
      <c r="Y134" s="14">
        <f t="shared" ref="Y134" si="67">Y135+Y141</f>
        <v>15.459999999999999</v>
      </c>
      <c r="Z134" s="14">
        <f t="shared" ref="Z134" si="68">Z135+Z141</f>
        <v>15.459999999999999</v>
      </c>
      <c r="AA134" s="14">
        <f t="shared" ref="AA134" si="69">AA135+AA141</f>
        <v>15.459999999999999</v>
      </c>
      <c r="AB134" s="14">
        <f t="shared" ref="AB134" si="70">AB135+AB141</f>
        <v>15.459999999999999</v>
      </c>
      <c r="AC134" s="14">
        <f t="shared" ref="AC134" si="71">AC135+AC141</f>
        <v>15.459999999999999</v>
      </c>
      <c r="AD134" s="14">
        <f t="shared" ref="AD134" si="72">AD135+AD141</f>
        <v>15.459999999999999</v>
      </c>
      <c r="AE134" s="14">
        <f t="shared" ref="AE134" si="73">AE135+AE141</f>
        <v>15.459999999999999</v>
      </c>
      <c r="AF134" s="14">
        <f t="shared" ref="AF134" si="74">AF135+AF141</f>
        <v>15.459999999999999</v>
      </c>
      <c r="AG134" s="14">
        <f t="shared" ref="AG134" si="75">AG135+AG141</f>
        <v>15.459999999999999</v>
      </c>
      <c r="AH134" s="14">
        <f t="shared" ref="AH134" si="76">AH135+AH141</f>
        <v>15.459999999999999</v>
      </c>
      <c r="AI134" s="14">
        <f t="shared" ref="AI134" si="77">AI135+AI141</f>
        <v>15.459999999999999</v>
      </c>
      <c r="AJ134" s="14">
        <f t="shared" ref="AJ134" si="78">AJ135+AJ141</f>
        <v>15.459999999999999</v>
      </c>
      <c r="AK134" s="14">
        <f t="shared" ref="AK134" si="79">AK135+AK141</f>
        <v>15.459999999999999</v>
      </c>
      <c r="AL134" s="14"/>
    </row>
    <row r="135" spans="2:39" ht="19.5" x14ac:dyDescent="0.2">
      <c r="B135" s="48">
        <f>B134+1</f>
        <v>57</v>
      </c>
      <c r="C135" s="123" t="s">
        <v>189</v>
      </c>
      <c r="D135" s="50" t="s">
        <v>25</v>
      </c>
      <c r="E135" s="50"/>
      <c r="F135" s="54">
        <v>13.29</v>
      </c>
      <c r="G135" s="54">
        <f>SUM(G136:G139)</f>
        <v>14.417</v>
      </c>
      <c r="H135" s="54">
        <f>SUM(H136:H139)</f>
        <v>15.36</v>
      </c>
      <c r="I135" s="54">
        <f t="shared" ref="I135" si="80">SUM(I136:I139)</f>
        <v>18.38</v>
      </c>
      <c r="J135" s="54">
        <f>SUM(J136:J139)</f>
        <v>17.329999999999998</v>
      </c>
      <c r="K135" s="54">
        <v>18.38</v>
      </c>
      <c r="L135" s="54">
        <f>SUM(L136:L140)</f>
        <v>20.010000000000002</v>
      </c>
      <c r="M135" s="54">
        <f>SUM(M136:M140)</f>
        <v>22.793000000000003</v>
      </c>
      <c r="N135" s="54"/>
      <c r="O135" s="54">
        <f t="shared" ref="O135:U135" si="81">SUM(O136:O140)</f>
        <v>23.913999999999998</v>
      </c>
      <c r="P135" s="54">
        <f t="shared" si="81"/>
        <v>25.730000000000008</v>
      </c>
      <c r="Q135" s="54">
        <f t="shared" si="81"/>
        <v>25.730000000000008</v>
      </c>
      <c r="R135" s="54">
        <f t="shared" si="81"/>
        <v>27.61</v>
      </c>
      <c r="S135" s="54">
        <f t="shared" si="81"/>
        <v>27.61</v>
      </c>
      <c r="T135" s="54">
        <f t="shared" si="81"/>
        <v>29.23</v>
      </c>
      <c r="U135" s="54">
        <f t="shared" si="81"/>
        <v>29.23</v>
      </c>
      <c r="V135" s="40">
        <f t="shared" ref="V135" si="82">SUM(V136:V139)</f>
        <v>14.709999999999999</v>
      </c>
      <c r="W135" s="40">
        <f t="shared" ref="W135" si="83">SUM(W136:W139)</f>
        <v>14.709999999999999</v>
      </c>
      <c r="X135" s="40">
        <f t="shared" ref="X135" si="84">SUM(X136:X139)</f>
        <v>14.709999999999999</v>
      </c>
      <c r="Y135" s="40">
        <f t="shared" ref="Y135" si="85">SUM(Y136:Y139)</f>
        <v>14.709999999999999</v>
      </c>
      <c r="Z135" s="40">
        <f t="shared" ref="Z135" si="86">SUM(Z136:Z139)</f>
        <v>14.709999999999999</v>
      </c>
      <c r="AA135" s="40">
        <f t="shared" ref="AA135" si="87">SUM(AA136:AA139)</f>
        <v>14.709999999999999</v>
      </c>
      <c r="AB135" s="40">
        <f t="shared" ref="AB135" si="88">SUM(AB136:AB139)</f>
        <v>14.709999999999999</v>
      </c>
      <c r="AC135" s="40">
        <f t="shared" ref="AC135" si="89">SUM(AC136:AC139)</f>
        <v>14.709999999999999</v>
      </c>
      <c r="AD135" s="40">
        <f t="shared" ref="AD135" si="90">SUM(AD136:AD139)</f>
        <v>14.709999999999999</v>
      </c>
      <c r="AE135" s="40">
        <f t="shared" ref="AE135" si="91">SUM(AE136:AE139)</f>
        <v>14.709999999999999</v>
      </c>
      <c r="AF135" s="40">
        <f t="shared" ref="AF135" si="92">SUM(AF136:AF139)</f>
        <v>14.709999999999999</v>
      </c>
      <c r="AG135" s="40">
        <f t="shared" ref="AG135" si="93">SUM(AG136:AG139)</f>
        <v>14.709999999999999</v>
      </c>
      <c r="AH135" s="40">
        <f t="shared" ref="AH135" si="94">SUM(AH136:AH139)</f>
        <v>14.709999999999999</v>
      </c>
      <c r="AI135" s="40">
        <f t="shared" ref="AI135" si="95">SUM(AI136:AI139)</f>
        <v>14.709999999999999</v>
      </c>
      <c r="AJ135" s="40">
        <f t="shared" ref="AJ135" si="96">SUM(AJ136:AJ139)</f>
        <v>14.709999999999999</v>
      </c>
      <c r="AK135" s="40">
        <f t="shared" ref="AK135" si="97">SUM(AK136:AK139)</f>
        <v>14.709999999999999</v>
      </c>
      <c r="AL135" s="40"/>
    </row>
    <row r="136" spans="2:39" ht="18.75" x14ac:dyDescent="0.2">
      <c r="B136" s="48">
        <f>B135+1</f>
        <v>58</v>
      </c>
      <c r="C136" s="125" t="s">
        <v>113</v>
      </c>
      <c r="D136" s="50" t="s">
        <v>25</v>
      </c>
      <c r="E136" s="8">
        <v>9.99</v>
      </c>
      <c r="F136" s="54">
        <v>10.142828</v>
      </c>
      <c r="G136" s="54">
        <v>10.964</v>
      </c>
      <c r="H136" s="94">
        <v>11.27</v>
      </c>
      <c r="I136" s="41">
        <v>12.28</v>
      </c>
      <c r="J136" s="41">
        <v>11.56</v>
      </c>
      <c r="K136" s="94">
        <v>12.3</v>
      </c>
      <c r="L136" s="94">
        <v>14.11</v>
      </c>
      <c r="M136" s="94">
        <v>16.006</v>
      </c>
      <c r="N136" s="94"/>
      <c r="O136" s="94">
        <v>17.61</v>
      </c>
      <c r="P136" s="94">
        <v>19.170000000000002</v>
      </c>
      <c r="Q136" s="94">
        <v>19.170000000000002</v>
      </c>
      <c r="R136" s="94">
        <v>20.25</v>
      </c>
      <c r="S136" s="94">
        <v>20.25</v>
      </c>
      <c r="T136" s="94">
        <v>21.46</v>
      </c>
      <c r="U136" s="94">
        <v>21.46</v>
      </c>
      <c r="V136" s="40">
        <v>11</v>
      </c>
      <c r="W136" s="40">
        <v>11</v>
      </c>
      <c r="X136" s="40">
        <v>11</v>
      </c>
      <c r="Y136" s="40">
        <v>11</v>
      </c>
      <c r="Z136" s="40">
        <v>11</v>
      </c>
      <c r="AA136" s="40">
        <v>11</v>
      </c>
      <c r="AB136" s="40">
        <v>11</v>
      </c>
      <c r="AC136" s="40">
        <v>11</v>
      </c>
      <c r="AD136" s="40">
        <v>11</v>
      </c>
      <c r="AE136" s="40">
        <v>11</v>
      </c>
      <c r="AF136" s="40">
        <v>11</v>
      </c>
      <c r="AG136" s="40">
        <v>11</v>
      </c>
      <c r="AH136" s="40">
        <v>11</v>
      </c>
      <c r="AI136" s="40">
        <v>11</v>
      </c>
      <c r="AJ136" s="40">
        <v>11</v>
      </c>
      <c r="AK136" s="40">
        <v>11</v>
      </c>
      <c r="AL136" s="40"/>
      <c r="AM136" s="7"/>
    </row>
    <row r="137" spans="2:39" ht="18.75" x14ac:dyDescent="0.2">
      <c r="B137" s="48">
        <f t="shared" ref="B137:B151" si="98">B136+1</f>
        <v>59</v>
      </c>
      <c r="C137" s="125" t="s">
        <v>114</v>
      </c>
      <c r="D137" s="50" t="s">
        <v>25</v>
      </c>
      <c r="E137" s="50"/>
      <c r="F137" s="54">
        <v>0.11</v>
      </c>
      <c r="G137" s="54">
        <v>0.24</v>
      </c>
      <c r="H137" s="94">
        <v>0.7</v>
      </c>
      <c r="I137" s="94">
        <v>1.46</v>
      </c>
      <c r="J137" s="94">
        <v>1.59</v>
      </c>
      <c r="K137" s="94">
        <v>1.46</v>
      </c>
      <c r="L137" s="94">
        <v>1.57</v>
      </c>
      <c r="M137" s="94">
        <v>1.6839999999999999</v>
      </c>
      <c r="N137" s="94"/>
      <c r="O137" s="94">
        <v>1.73</v>
      </c>
      <c r="P137" s="94">
        <v>1.76</v>
      </c>
      <c r="Q137" s="94">
        <v>1.76</v>
      </c>
      <c r="R137" s="94">
        <v>2.33</v>
      </c>
      <c r="S137" s="94">
        <v>2.33</v>
      </c>
      <c r="T137" s="94">
        <v>2.33</v>
      </c>
      <c r="U137" s="94">
        <v>2.33</v>
      </c>
      <c r="V137" s="40">
        <v>0.28000000000000003</v>
      </c>
      <c r="W137" s="40">
        <v>0.28000000000000003</v>
      </c>
      <c r="X137" s="40">
        <v>0.28000000000000003</v>
      </c>
      <c r="Y137" s="40">
        <v>0.28000000000000003</v>
      </c>
      <c r="Z137" s="40">
        <v>0.28000000000000003</v>
      </c>
      <c r="AA137" s="40">
        <v>0.28000000000000003</v>
      </c>
      <c r="AB137" s="40">
        <v>0.28000000000000003</v>
      </c>
      <c r="AC137" s="40">
        <v>0.28000000000000003</v>
      </c>
      <c r="AD137" s="40">
        <v>0.28000000000000003</v>
      </c>
      <c r="AE137" s="40">
        <v>0.28000000000000003</v>
      </c>
      <c r="AF137" s="40">
        <v>0.28000000000000003</v>
      </c>
      <c r="AG137" s="40">
        <v>0.28000000000000003</v>
      </c>
      <c r="AH137" s="40">
        <v>0.28000000000000003</v>
      </c>
      <c r="AI137" s="40">
        <v>0.28000000000000003</v>
      </c>
      <c r="AJ137" s="40">
        <v>0.28000000000000003</v>
      </c>
      <c r="AK137" s="40">
        <v>0.28000000000000003</v>
      </c>
      <c r="AL137" s="40"/>
      <c r="AM137" s="7"/>
    </row>
    <row r="138" spans="2:39" ht="18.75" x14ac:dyDescent="0.2">
      <c r="B138" s="48">
        <f t="shared" si="98"/>
        <v>60</v>
      </c>
      <c r="C138" s="125" t="s">
        <v>115</v>
      </c>
      <c r="D138" s="50" t="s">
        <v>25</v>
      </c>
      <c r="E138" s="50"/>
      <c r="F138" s="54">
        <v>0.63</v>
      </c>
      <c r="G138" s="54">
        <v>0.69</v>
      </c>
      <c r="H138" s="126">
        <v>0.9</v>
      </c>
      <c r="I138" s="94">
        <v>1.89</v>
      </c>
      <c r="J138" s="94">
        <v>1.86</v>
      </c>
      <c r="K138" s="94">
        <v>1.89</v>
      </c>
      <c r="L138" s="94">
        <v>1.94</v>
      </c>
      <c r="M138" s="94">
        <v>2.585</v>
      </c>
      <c r="N138" s="94"/>
      <c r="O138" s="94">
        <v>1.9</v>
      </c>
      <c r="P138" s="94">
        <v>2.1</v>
      </c>
      <c r="Q138" s="94">
        <v>2.1</v>
      </c>
      <c r="R138" s="94">
        <v>2.2999999999999998</v>
      </c>
      <c r="S138" s="94">
        <v>2.2999999999999998</v>
      </c>
      <c r="T138" s="94">
        <v>2.5299999999999998</v>
      </c>
      <c r="U138" s="94">
        <v>2.5299999999999998</v>
      </c>
      <c r="V138" s="40">
        <v>0.93</v>
      </c>
      <c r="W138" s="40">
        <v>0.93</v>
      </c>
      <c r="X138" s="40">
        <v>0.93</v>
      </c>
      <c r="Y138" s="40">
        <v>0.93</v>
      </c>
      <c r="Z138" s="40">
        <v>0.93</v>
      </c>
      <c r="AA138" s="40">
        <v>0.93</v>
      </c>
      <c r="AB138" s="40">
        <v>0.93</v>
      </c>
      <c r="AC138" s="40">
        <v>0.93</v>
      </c>
      <c r="AD138" s="40">
        <v>0.93</v>
      </c>
      <c r="AE138" s="40">
        <v>0.93</v>
      </c>
      <c r="AF138" s="40">
        <v>0.93</v>
      </c>
      <c r="AG138" s="40">
        <v>0.93</v>
      </c>
      <c r="AH138" s="40">
        <v>0.93</v>
      </c>
      <c r="AI138" s="40">
        <v>0.93</v>
      </c>
      <c r="AJ138" s="40">
        <v>0.93</v>
      </c>
      <c r="AK138" s="40">
        <v>0.93</v>
      </c>
      <c r="AL138" s="40"/>
      <c r="AM138" s="7"/>
    </row>
    <row r="139" spans="2:39" ht="18.75" x14ac:dyDescent="0.2">
      <c r="B139" s="48">
        <f t="shared" si="98"/>
        <v>61</v>
      </c>
      <c r="C139" s="125" t="s">
        <v>116</v>
      </c>
      <c r="D139" s="50" t="s">
        <v>25</v>
      </c>
      <c r="E139" s="50"/>
      <c r="F139" s="54">
        <v>2.3921709999999998</v>
      </c>
      <c r="G139" s="54">
        <v>2.5230000000000001</v>
      </c>
      <c r="H139" s="126">
        <v>2.4900000000000002</v>
      </c>
      <c r="I139" s="94">
        <v>2.75</v>
      </c>
      <c r="J139" s="94">
        <v>2.3199999999999998</v>
      </c>
      <c r="K139" s="94">
        <v>2.75</v>
      </c>
      <c r="L139" s="94">
        <v>2.36</v>
      </c>
      <c r="M139" s="94">
        <v>2.5129999999999999</v>
      </c>
      <c r="N139" s="94"/>
      <c r="O139" s="94">
        <v>2.67</v>
      </c>
      <c r="P139" s="94">
        <v>2.69</v>
      </c>
      <c r="Q139" s="94">
        <v>2.69</v>
      </c>
      <c r="R139" s="94">
        <v>2.72</v>
      </c>
      <c r="S139" s="94">
        <v>2.72</v>
      </c>
      <c r="T139" s="94">
        <v>2.9</v>
      </c>
      <c r="U139" s="94">
        <v>2.9</v>
      </c>
      <c r="V139" s="40">
        <f t="shared" ref="V139:AK139" si="99">1.9+0.6</f>
        <v>2.5</v>
      </c>
      <c r="W139" s="40">
        <f t="shared" si="99"/>
        <v>2.5</v>
      </c>
      <c r="X139" s="40">
        <f t="shared" si="99"/>
        <v>2.5</v>
      </c>
      <c r="Y139" s="40">
        <f t="shared" si="99"/>
        <v>2.5</v>
      </c>
      <c r="Z139" s="40">
        <f t="shared" si="99"/>
        <v>2.5</v>
      </c>
      <c r="AA139" s="40">
        <f t="shared" si="99"/>
        <v>2.5</v>
      </c>
      <c r="AB139" s="40">
        <f t="shared" si="99"/>
        <v>2.5</v>
      </c>
      <c r="AC139" s="40">
        <f t="shared" si="99"/>
        <v>2.5</v>
      </c>
      <c r="AD139" s="40">
        <f t="shared" si="99"/>
        <v>2.5</v>
      </c>
      <c r="AE139" s="40">
        <f t="shared" si="99"/>
        <v>2.5</v>
      </c>
      <c r="AF139" s="40">
        <f t="shared" si="99"/>
        <v>2.5</v>
      </c>
      <c r="AG139" s="40">
        <f t="shared" si="99"/>
        <v>2.5</v>
      </c>
      <c r="AH139" s="40">
        <f t="shared" si="99"/>
        <v>2.5</v>
      </c>
      <c r="AI139" s="40">
        <f t="shared" si="99"/>
        <v>2.5</v>
      </c>
      <c r="AJ139" s="40">
        <f t="shared" si="99"/>
        <v>2.5</v>
      </c>
      <c r="AK139" s="40">
        <f t="shared" si="99"/>
        <v>2.5</v>
      </c>
      <c r="AL139" s="40"/>
      <c r="AM139" s="7"/>
    </row>
    <row r="140" spans="2:39" ht="18" customHeight="1" x14ac:dyDescent="0.2">
      <c r="B140" s="121"/>
      <c r="C140" s="125" t="s">
        <v>197</v>
      </c>
      <c r="D140" s="50" t="s">
        <v>7</v>
      </c>
      <c r="E140" s="50"/>
      <c r="F140" s="54"/>
      <c r="G140" s="54"/>
      <c r="H140" s="126"/>
      <c r="I140" s="94"/>
      <c r="J140" s="94"/>
      <c r="K140" s="94"/>
      <c r="L140" s="94">
        <v>0.03</v>
      </c>
      <c r="M140" s="94">
        <v>5.0000000000000001E-3</v>
      </c>
      <c r="N140" s="94"/>
      <c r="O140" s="94">
        <v>4.0000000000000001E-3</v>
      </c>
      <c r="P140" s="94">
        <v>0.01</v>
      </c>
      <c r="Q140" s="94">
        <v>0.01</v>
      </c>
      <c r="R140" s="94">
        <v>0.01</v>
      </c>
      <c r="S140" s="94">
        <v>0.01</v>
      </c>
      <c r="T140" s="94">
        <v>0.01</v>
      </c>
      <c r="U140" s="94">
        <v>0.01</v>
      </c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7"/>
    </row>
    <row r="141" spans="2:39" ht="19.5" x14ac:dyDescent="0.2">
      <c r="B141" s="48">
        <f>B139+1</f>
        <v>62</v>
      </c>
      <c r="C141" s="123" t="s">
        <v>95</v>
      </c>
      <c r="D141" s="50" t="s">
        <v>25</v>
      </c>
      <c r="E141" s="50"/>
      <c r="F141" s="54">
        <v>0.98</v>
      </c>
      <c r="G141" s="94">
        <f>0.611505+0.000592+0.111444+0.241435</f>
        <v>0.96497600000000006</v>
      </c>
      <c r="H141" s="94">
        <v>0.75</v>
      </c>
      <c r="I141" s="41">
        <v>1.22</v>
      </c>
      <c r="J141" s="41">
        <v>2.2200000000000002</v>
      </c>
      <c r="K141" s="94">
        <v>1.2</v>
      </c>
      <c r="L141" s="94">
        <v>2.27</v>
      </c>
      <c r="M141" s="94">
        <v>3.5430000000000001</v>
      </c>
      <c r="N141" s="94"/>
      <c r="O141" s="94">
        <v>0.79</v>
      </c>
      <c r="P141" s="94">
        <v>0.74</v>
      </c>
      <c r="Q141" s="94">
        <v>0.74</v>
      </c>
      <c r="R141" s="94">
        <v>0.74</v>
      </c>
      <c r="S141" s="94">
        <v>0.74</v>
      </c>
      <c r="T141" s="94">
        <v>0.74</v>
      </c>
      <c r="U141" s="94">
        <v>0.74</v>
      </c>
      <c r="V141" s="40">
        <f t="shared" ref="V141:AK141" si="100">0.6+0.1+0.05</f>
        <v>0.75</v>
      </c>
      <c r="W141" s="40">
        <f t="shared" si="100"/>
        <v>0.75</v>
      </c>
      <c r="X141" s="40">
        <f t="shared" si="100"/>
        <v>0.75</v>
      </c>
      <c r="Y141" s="40">
        <f t="shared" si="100"/>
        <v>0.75</v>
      </c>
      <c r="Z141" s="40">
        <f t="shared" si="100"/>
        <v>0.75</v>
      </c>
      <c r="AA141" s="40">
        <f t="shared" si="100"/>
        <v>0.75</v>
      </c>
      <c r="AB141" s="40">
        <f t="shared" si="100"/>
        <v>0.75</v>
      </c>
      <c r="AC141" s="40">
        <f t="shared" si="100"/>
        <v>0.75</v>
      </c>
      <c r="AD141" s="40">
        <f t="shared" si="100"/>
        <v>0.75</v>
      </c>
      <c r="AE141" s="40">
        <f t="shared" si="100"/>
        <v>0.75</v>
      </c>
      <c r="AF141" s="40">
        <f t="shared" si="100"/>
        <v>0.75</v>
      </c>
      <c r="AG141" s="40">
        <f t="shared" si="100"/>
        <v>0.75</v>
      </c>
      <c r="AH141" s="40">
        <f t="shared" si="100"/>
        <v>0.75</v>
      </c>
      <c r="AI141" s="40">
        <f t="shared" si="100"/>
        <v>0.75</v>
      </c>
      <c r="AJ141" s="40">
        <f t="shared" si="100"/>
        <v>0.75</v>
      </c>
      <c r="AK141" s="40">
        <f t="shared" si="100"/>
        <v>0.75</v>
      </c>
      <c r="AL141" s="40"/>
    </row>
    <row r="142" spans="2:39" x14ac:dyDescent="0.35">
      <c r="B142" s="48">
        <f t="shared" si="98"/>
        <v>63</v>
      </c>
      <c r="C142" s="123" t="s">
        <v>112</v>
      </c>
      <c r="D142" s="50" t="s">
        <v>25</v>
      </c>
      <c r="E142" s="50"/>
      <c r="F142" s="8">
        <v>2.3166989999999998</v>
      </c>
      <c r="G142" s="94">
        <v>1.001236E-2</v>
      </c>
      <c r="H142" s="94">
        <v>0.01</v>
      </c>
      <c r="I142" s="94">
        <v>0.01</v>
      </c>
      <c r="J142" s="94">
        <v>0.01</v>
      </c>
      <c r="K142" s="94">
        <v>0.01</v>
      </c>
      <c r="L142" s="94">
        <v>0.01</v>
      </c>
      <c r="M142" s="94">
        <v>1.2E-2</v>
      </c>
      <c r="N142" s="94"/>
      <c r="O142" s="94">
        <v>0</v>
      </c>
      <c r="P142" s="94">
        <v>0</v>
      </c>
      <c r="Q142" s="94">
        <v>0</v>
      </c>
      <c r="R142" s="94">
        <v>0</v>
      </c>
      <c r="S142" s="94">
        <v>0</v>
      </c>
      <c r="T142" s="94">
        <v>0</v>
      </c>
      <c r="U142" s="94">
        <v>0</v>
      </c>
      <c r="AM142" s="42"/>
    </row>
    <row r="143" spans="2:39" x14ac:dyDescent="0.35">
      <c r="B143" s="48">
        <f t="shared" si="98"/>
        <v>64</v>
      </c>
      <c r="C143" s="71" t="s">
        <v>193</v>
      </c>
      <c r="D143" s="50" t="s">
        <v>25</v>
      </c>
      <c r="E143" s="50"/>
      <c r="F143" s="54">
        <f>SUM(F144:F151)</f>
        <v>16.650750000000002</v>
      </c>
      <c r="G143" s="54">
        <v>15.49</v>
      </c>
      <c r="H143" s="54">
        <f t="shared" ref="H143" si="101">SUM(H144:H151)</f>
        <v>15.780000000000001</v>
      </c>
      <c r="I143" s="54">
        <v>20.05</v>
      </c>
      <c r="J143" s="54">
        <v>20.66</v>
      </c>
      <c r="K143" s="54">
        <v>20.05</v>
      </c>
      <c r="L143" s="54">
        <f>SUM(L144:L152)</f>
        <v>20.880000000000003</v>
      </c>
      <c r="M143" s="54">
        <f>SUM(M144:M152)</f>
        <v>25.437000000000001</v>
      </c>
      <c r="N143" s="54"/>
      <c r="O143" s="54">
        <f>SUM(O144:O152)</f>
        <v>28.12</v>
      </c>
      <c r="P143" s="54">
        <f>SUM(P144:P152)</f>
        <v>26.470000000000002</v>
      </c>
      <c r="Q143" s="54">
        <f t="shared" ref="Q143:U143" si="102">SUM(Q144:Q152)</f>
        <v>26.470000000000002</v>
      </c>
      <c r="R143" s="54">
        <f t="shared" si="102"/>
        <v>28.349999999999998</v>
      </c>
      <c r="S143" s="54">
        <f t="shared" si="102"/>
        <v>28.349999999999998</v>
      </c>
      <c r="T143" s="54">
        <f t="shared" si="102"/>
        <v>29.97</v>
      </c>
      <c r="U143" s="54">
        <f t="shared" si="102"/>
        <v>29.97</v>
      </c>
    </row>
    <row r="144" spans="2:39" x14ac:dyDescent="0.35">
      <c r="B144" s="48">
        <f t="shared" si="98"/>
        <v>65</v>
      </c>
      <c r="C144" s="125" t="s">
        <v>117</v>
      </c>
      <c r="D144" s="50" t="s">
        <v>25</v>
      </c>
      <c r="E144" s="50"/>
      <c r="F144" s="8">
        <v>7.5000000000000002E-4</v>
      </c>
      <c r="G144" s="8">
        <v>0</v>
      </c>
      <c r="H144" s="94">
        <v>3.27</v>
      </c>
      <c r="I144" s="127">
        <v>7.17</v>
      </c>
      <c r="J144" s="127">
        <v>7.89</v>
      </c>
      <c r="K144" s="127">
        <v>7.17</v>
      </c>
      <c r="L144" s="127">
        <v>7.95</v>
      </c>
      <c r="M144" s="127">
        <v>8.0850000000000009</v>
      </c>
      <c r="N144" s="127"/>
      <c r="O144" s="127">
        <v>11.64</v>
      </c>
      <c r="P144" s="127">
        <v>11.15</v>
      </c>
      <c r="Q144" s="127">
        <v>11.15</v>
      </c>
      <c r="R144" s="127">
        <v>11.15</v>
      </c>
      <c r="S144" s="127">
        <v>11.15</v>
      </c>
      <c r="T144" s="127">
        <v>11.15</v>
      </c>
      <c r="U144" s="127">
        <v>11.15</v>
      </c>
    </row>
    <row r="145" spans="2:38" ht="37.5" x14ac:dyDescent="0.35">
      <c r="B145" s="48">
        <f t="shared" si="98"/>
        <v>66</v>
      </c>
      <c r="C145" s="125" t="s">
        <v>118</v>
      </c>
      <c r="D145" s="50" t="s">
        <v>25</v>
      </c>
      <c r="E145" s="50"/>
      <c r="F145" s="54">
        <v>0.08</v>
      </c>
      <c r="G145" s="54">
        <v>0.12</v>
      </c>
      <c r="H145" s="94">
        <v>0.09</v>
      </c>
      <c r="I145" s="51">
        <v>0</v>
      </c>
      <c r="J145" s="51">
        <v>0.1</v>
      </c>
      <c r="K145" s="51">
        <v>0</v>
      </c>
      <c r="L145" s="51">
        <v>0</v>
      </c>
      <c r="M145" s="51">
        <v>0</v>
      </c>
      <c r="N145" s="51"/>
      <c r="O145" s="127">
        <v>0.25</v>
      </c>
      <c r="P145" s="51">
        <v>0.1</v>
      </c>
      <c r="Q145" s="51">
        <v>0.1</v>
      </c>
      <c r="R145" s="51">
        <v>0.1</v>
      </c>
      <c r="S145" s="51">
        <v>0.1</v>
      </c>
      <c r="T145" s="51">
        <v>0.1</v>
      </c>
      <c r="U145" s="51">
        <v>0.1</v>
      </c>
    </row>
    <row r="146" spans="2:38" x14ac:dyDescent="0.35">
      <c r="B146" s="48">
        <f t="shared" si="98"/>
        <v>67</v>
      </c>
      <c r="C146" s="125" t="s">
        <v>119</v>
      </c>
      <c r="D146" s="50" t="s">
        <v>25</v>
      </c>
      <c r="E146" s="50"/>
      <c r="F146" s="8">
        <v>3.4</v>
      </c>
      <c r="G146" s="54">
        <v>0.68</v>
      </c>
      <c r="H146" s="94">
        <v>0.06</v>
      </c>
      <c r="I146" s="54">
        <v>1.29</v>
      </c>
      <c r="J146" s="54">
        <v>1.98</v>
      </c>
      <c r="K146" s="54">
        <v>1.29</v>
      </c>
      <c r="L146" s="54">
        <v>1.05</v>
      </c>
      <c r="M146" s="54">
        <v>4.05</v>
      </c>
      <c r="N146" s="54"/>
      <c r="O146" s="54">
        <v>3.54</v>
      </c>
      <c r="P146" s="54">
        <v>1.82</v>
      </c>
      <c r="Q146" s="54">
        <v>1.82</v>
      </c>
      <c r="R146" s="54">
        <v>2.39</v>
      </c>
      <c r="S146" s="54">
        <v>2.39</v>
      </c>
      <c r="T146" s="54">
        <v>2.39</v>
      </c>
      <c r="U146" s="54">
        <v>2.39</v>
      </c>
    </row>
    <row r="147" spans="2:38" x14ac:dyDescent="0.35">
      <c r="B147" s="48">
        <f t="shared" si="98"/>
        <v>68</v>
      </c>
      <c r="C147" s="125" t="s">
        <v>120</v>
      </c>
      <c r="D147" s="50" t="s">
        <v>25</v>
      </c>
      <c r="E147" s="50"/>
      <c r="F147" s="54">
        <v>5.51</v>
      </c>
      <c r="G147" s="54">
        <v>4.99</v>
      </c>
      <c r="H147" s="94">
        <v>10.57</v>
      </c>
      <c r="I147" s="54">
        <v>9.27</v>
      </c>
      <c r="J147" s="54">
        <v>8.41</v>
      </c>
      <c r="K147" s="127">
        <v>9.27</v>
      </c>
      <c r="L147" s="127">
        <v>9.6300000000000008</v>
      </c>
      <c r="M147" s="127">
        <v>9.3320000000000007</v>
      </c>
      <c r="N147" s="127"/>
      <c r="O147" s="127">
        <v>9.82</v>
      </c>
      <c r="P147" s="127">
        <v>10.3</v>
      </c>
      <c r="Q147" s="127">
        <v>10.3</v>
      </c>
      <c r="R147" s="127">
        <v>10.75</v>
      </c>
      <c r="S147" s="127">
        <v>10.75</v>
      </c>
      <c r="T147" s="127">
        <v>11.43</v>
      </c>
      <c r="U147" s="127">
        <v>11.43</v>
      </c>
    </row>
    <row r="148" spans="2:38" x14ac:dyDescent="0.35">
      <c r="B148" s="48">
        <f t="shared" si="98"/>
        <v>69</v>
      </c>
      <c r="C148" s="125" t="s">
        <v>121</v>
      </c>
      <c r="D148" s="50" t="s">
        <v>25</v>
      </c>
      <c r="E148" s="50"/>
      <c r="F148" s="8">
        <v>0</v>
      </c>
      <c r="G148" s="8">
        <v>0</v>
      </c>
      <c r="H148" s="41">
        <v>1.1000000000000001</v>
      </c>
      <c r="I148" s="54">
        <v>1.31</v>
      </c>
      <c r="J148" s="41">
        <v>1.2</v>
      </c>
      <c r="K148" s="94">
        <v>1.31</v>
      </c>
      <c r="L148" s="94">
        <v>1.2</v>
      </c>
      <c r="M148" s="94">
        <v>2.81</v>
      </c>
      <c r="N148" s="94"/>
      <c r="O148" s="94">
        <v>1.67</v>
      </c>
      <c r="P148" s="94">
        <v>1.8</v>
      </c>
      <c r="Q148" s="94">
        <v>1.8</v>
      </c>
      <c r="R148" s="94">
        <v>1.9</v>
      </c>
      <c r="S148" s="94">
        <v>1.9</v>
      </c>
      <c r="T148" s="94">
        <v>2</v>
      </c>
      <c r="U148" s="94">
        <v>2</v>
      </c>
    </row>
    <row r="149" spans="2:38" x14ac:dyDescent="0.35">
      <c r="B149" s="48">
        <f t="shared" si="98"/>
        <v>70</v>
      </c>
      <c r="C149" s="125" t="s">
        <v>122</v>
      </c>
      <c r="D149" s="50" t="s">
        <v>25</v>
      </c>
      <c r="E149" s="50"/>
      <c r="F149" s="54">
        <v>0.48</v>
      </c>
      <c r="G149" s="54">
        <v>0.59</v>
      </c>
      <c r="H149" s="94">
        <v>0.63</v>
      </c>
      <c r="I149" s="54">
        <v>0.73</v>
      </c>
      <c r="J149" s="54">
        <v>0.79</v>
      </c>
      <c r="K149" s="94">
        <v>0.73</v>
      </c>
      <c r="L149" s="94">
        <v>0.76</v>
      </c>
      <c r="M149" s="94">
        <v>0.8</v>
      </c>
      <c r="N149" s="94"/>
      <c r="O149" s="94">
        <v>0.84</v>
      </c>
      <c r="P149" s="94">
        <v>0.84</v>
      </c>
      <c r="Q149" s="94">
        <v>0.84</v>
      </c>
      <c r="R149" s="94">
        <v>0.84</v>
      </c>
      <c r="S149" s="94">
        <v>0.84</v>
      </c>
      <c r="T149" s="94">
        <v>0.84</v>
      </c>
      <c r="U149" s="94">
        <v>0.84</v>
      </c>
    </row>
    <row r="150" spans="2:38" x14ac:dyDescent="0.35">
      <c r="B150" s="48">
        <f t="shared" si="98"/>
        <v>71</v>
      </c>
      <c r="C150" s="125" t="s">
        <v>123</v>
      </c>
      <c r="D150" s="50" t="s">
        <v>25</v>
      </c>
      <c r="E150" s="50"/>
      <c r="F150" s="54">
        <v>0.03</v>
      </c>
      <c r="G150" s="54">
        <v>0.01</v>
      </c>
      <c r="H150" s="94">
        <v>0</v>
      </c>
      <c r="I150" s="54">
        <v>0.2</v>
      </c>
      <c r="J150" s="51">
        <v>0.2</v>
      </c>
      <c r="K150" s="51">
        <v>0.2</v>
      </c>
      <c r="L150" s="51">
        <v>0.2</v>
      </c>
      <c r="M150" s="127">
        <v>0.25</v>
      </c>
      <c r="N150" s="127">
        <v>0.25</v>
      </c>
      <c r="O150" s="127">
        <v>0.25</v>
      </c>
      <c r="P150" s="127">
        <v>0.35</v>
      </c>
      <c r="Q150" s="127">
        <v>0.35</v>
      </c>
      <c r="R150" s="127">
        <v>0.4</v>
      </c>
      <c r="S150" s="127">
        <v>0.4</v>
      </c>
      <c r="T150" s="127">
        <v>0.45</v>
      </c>
      <c r="U150" s="127">
        <v>0.45</v>
      </c>
    </row>
    <row r="151" spans="2:38" ht="56.25" x14ac:dyDescent="0.35">
      <c r="B151" s="48">
        <f t="shared" si="98"/>
        <v>72</v>
      </c>
      <c r="C151" s="125" t="s">
        <v>174</v>
      </c>
      <c r="D151" s="50" t="s">
        <v>25</v>
      </c>
      <c r="E151" s="50"/>
      <c r="F151" s="54">
        <v>7.15</v>
      </c>
      <c r="G151" s="54">
        <v>5.93</v>
      </c>
      <c r="H151" s="94">
        <v>0.06</v>
      </c>
      <c r="I151" s="128">
        <v>0.08</v>
      </c>
      <c r="J151" s="128">
        <v>0.09</v>
      </c>
      <c r="K151" s="94">
        <v>0.08</v>
      </c>
      <c r="L151" s="94">
        <v>0.09</v>
      </c>
      <c r="M151" s="94">
        <v>0.11</v>
      </c>
      <c r="N151" s="94"/>
      <c r="O151" s="94">
        <v>0.11</v>
      </c>
      <c r="P151" s="94">
        <v>0.11</v>
      </c>
      <c r="Q151" s="94">
        <v>0.11</v>
      </c>
      <c r="R151" s="94">
        <v>0.11</v>
      </c>
      <c r="S151" s="94">
        <v>0.11</v>
      </c>
      <c r="T151" s="94">
        <v>0.11</v>
      </c>
      <c r="U151" s="94">
        <v>0.11</v>
      </c>
      <c r="V151" s="10">
        <v>56.1</v>
      </c>
      <c r="W151" s="10">
        <v>56.1</v>
      </c>
      <c r="X151" s="10">
        <v>56.1</v>
      </c>
      <c r="Y151" s="10">
        <v>56.1</v>
      </c>
      <c r="Z151" s="10">
        <v>56.1</v>
      </c>
      <c r="AA151" s="10">
        <v>56.1</v>
      </c>
      <c r="AB151" s="16"/>
    </row>
    <row r="152" spans="2:38" x14ac:dyDescent="0.35">
      <c r="B152" s="48">
        <v>73</v>
      </c>
      <c r="C152" s="125" t="s">
        <v>196</v>
      </c>
      <c r="D152" s="50" t="s">
        <v>25</v>
      </c>
      <c r="E152" s="50"/>
      <c r="F152" s="54"/>
      <c r="G152" s="54"/>
      <c r="H152" s="94"/>
      <c r="I152" s="128"/>
      <c r="J152" s="128"/>
      <c r="K152" s="94"/>
      <c r="L152" s="94"/>
      <c r="M152" s="94">
        <v>0</v>
      </c>
      <c r="N152" s="94"/>
      <c r="O152" s="94">
        <v>0</v>
      </c>
      <c r="P152" s="94">
        <v>0</v>
      </c>
      <c r="Q152" s="94">
        <v>0</v>
      </c>
      <c r="R152" s="94">
        <v>0.71</v>
      </c>
      <c r="S152" s="94">
        <v>0.71</v>
      </c>
      <c r="T152" s="94">
        <v>1.5</v>
      </c>
      <c r="U152" s="94">
        <v>1.5</v>
      </c>
    </row>
    <row r="153" spans="2:38" s="43" customFormat="1" ht="51" customHeight="1" x14ac:dyDescent="0.35">
      <c r="B153" s="48">
        <v>9</v>
      </c>
      <c r="C153" s="123" t="s">
        <v>190</v>
      </c>
      <c r="D153" s="50" t="s">
        <v>25</v>
      </c>
      <c r="E153" s="50">
        <f t="shared" ref="E153" si="103">E133-E143</f>
        <v>0</v>
      </c>
      <c r="F153" s="56">
        <f>F133-F143</f>
        <v>-6.4051000000002745E-2</v>
      </c>
      <c r="G153" s="56">
        <f t="shared" ref="G153:L153" si="104">G133-G143</f>
        <v>-9.8011640000001066E-2</v>
      </c>
      <c r="H153" s="56">
        <f t="shared" si="104"/>
        <v>0.33999999999999986</v>
      </c>
      <c r="I153" s="56">
        <f t="shared" si="104"/>
        <v>-0.44000000000000128</v>
      </c>
      <c r="J153" s="56">
        <f>J133-J143</f>
        <v>-1.1000000000000014</v>
      </c>
      <c r="K153" s="56">
        <v>-0.44</v>
      </c>
      <c r="L153" s="56">
        <f t="shared" si="104"/>
        <v>1.4100000000000001</v>
      </c>
      <c r="M153" s="56">
        <f>M133-M143</f>
        <v>0.91100000000000136</v>
      </c>
      <c r="N153" s="56"/>
      <c r="O153" s="56">
        <f>O133-O143</f>
        <v>-3.4160000000000039</v>
      </c>
      <c r="P153" s="79">
        <f t="shared" ref="P153:U153" si="105">P133-P143</f>
        <v>0</v>
      </c>
      <c r="Q153" s="79">
        <f t="shared" si="105"/>
        <v>0</v>
      </c>
      <c r="R153" s="79">
        <f t="shared" si="105"/>
        <v>0</v>
      </c>
      <c r="S153" s="79">
        <f t="shared" si="105"/>
        <v>0</v>
      </c>
      <c r="T153" s="129">
        <f t="shared" si="105"/>
        <v>0</v>
      </c>
      <c r="U153" s="129">
        <f t="shared" si="105"/>
        <v>0</v>
      </c>
      <c r="V153" s="44"/>
    </row>
    <row r="154" spans="2:38" ht="3" hidden="1" customHeight="1" x14ac:dyDescent="0.35">
      <c r="B154" s="48"/>
      <c r="C154" s="84" t="s">
        <v>176</v>
      </c>
      <c r="D154" s="85"/>
      <c r="E154" s="86">
        <f t="shared" ref="E154:I154" si="106">E155*0.35</f>
        <v>23.475446000383659</v>
      </c>
      <c r="F154" s="86">
        <f t="shared" si="106"/>
        <v>23.834575676194124</v>
      </c>
      <c r="G154" s="86">
        <f t="shared" si="106"/>
        <v>25.764243238058697</v>
      </c>
      <c r="H154" s="86">
        <f t="shared" si="106"/>
        <v>26.483310953385754</v>
      </c>
      <c r="I154" s="86">
        <f t="shared" si="106"/>
        <v>28.856704392863989</v>
      </c>
      <c r="J154" s="86">
        <f>J155*0.35</f>
        <v>27.164780356800307</v>
      </c>
      <c r="K154" s="86">
        <f>K155*0.35</f>
        <v>28.903702282754651</v>
      </c>
      <c r="L154" s="86"/>
      <c r="M154" s="86"/>
      <c r="N154" s="86"/>
      <c r="O154" s="86"/>
      <c r="P154" s="86">
        <f>P155*0.35</f>
        <v>45.047477460195658</v>
      </c>
      <c r="Q154" s="86">
        <f t="shared" ref="Q154:U154" si="107">Q155*0.35</f>
        <v>45.047477460195658</v>
      </c>
      <c r="R154" s="86">
        <f t="shared" si="107"/>
        <v>47.585363514291188</v>
      </c>
      <c r="S154" s="86">
        <f t="shared" si="107"/>
        <v>47.585363514291188</v>
      </c>
      <c r="T154" s="86">
        <f t="shared" si="107"/>
        <v>50.428735852675999</v>
      </c>
      <c r="U154" s="86">
        <f t="shared" si="107"/>
        <v>50.428735852675999</v>
      </c>
    </row>
    <row r="155" spans="2:38" hidden="1" x14ac:dyDescent="0.35">
      <c r="B155" s="48"/>
      <c r="C155" s="84" t="s">
        <v>177</v>
      </c>
      <c r="D155" s="85" t="s">
        <v>25</v>
      </c>
      <c r="E155" s="86">
        <f>E156*0.35</f>
        <v>67.072702858239026</v>
      </c>
      <c r="F155" s="86">
        <f t="shared" ref="F155" si="108">F156*0.35</f>
        <v>68.098787646268931</v>
      </c>
      <c r="G155" s="86">
        <f t="shared" ref="G155" si="109">G156*0.35</f>
        <v>73.612123537310566</v>
      </c>
      <c r="H155" s="86">
        <f>H156*0.35</f>
        <v>75.666602723959301</v>
      </c>
      <c r="I155" s="86">
        <f t="shared" ref="I155" si="110">I156*0.35</f>
        <v>82.447726836754256</v>
      </c>
      <c r="J155" s="86">
        <f>J156*0.35</f>
        <v>77.613658162286598</v>
      </c>
      <c r="K155" s="86">
        <f>K156*0.35</f>
        <v>82.582006522156149</v>
      </c>
      <c r="L155" s="86"/>
      <c r="M155" s="86"/>
      <c r="N155" s="86"/>
      <c r="O155" s="86"/>
      <c r="P155" s="86">
        <f t="shared" ref="P155" si="111">P156*0.35</f>
        <v>128.7070784577019</v>
      </c>
      <c r="Q155" s="86">
        <f t="shared" ref="Q155" si="112">Q156*0.35</f>
        <v>128.7070784577019</v>
      </c>
      <c r="R155" s="86">
        <f t="shared" ref="R155" si="113">R156*0.35</f>
        <v>135.9581814694034</v>
      </c>
      <c r="S155" s="86">
        <f t="shared" ref="S155" si="114">S156*0.35</f>
        <v>135.9581814694034</v>
      </c>
      <c r="T155" s="86">
        <f t="shared" ref="T155" si="115">T156*0.35</f>
        <v>144.08210243621716</v>
      </c>
      <c r="U155" s="86">
        <f t="shared" ref="U155" si="116">U156*0.35</f>
        <v>144.08210243621716</v>
      </c>
    </row>
    <row r="156" spans="2:38" hidden="1" x14ac:dyDescent="0.35">
      <c r="B156" s="48"/>
      <c r="C156" s="84" t="s">
        <v>178</v>
      </c>
      <c r="D156" s="85" t="s">
        <v>25</v>
      </c>
      <c r="E156" s="86">
        <f t="shared" ref="E156:G156" si="117">E136/40.1*100/13*100</f>
        <v>191.63629388068293</v>
      </c>
      <c r="F156" s="86">
        <f>F136/40.1*100/13*100</f>
        <v>194.56796470362553</v>
      </c>
      <c r="G156" s="86">
        <f t="shared" si="117"/>
        <v>210.32035296374448</v>
      </c>
      <c r="H156" s="86">
        <f>H136/40.1*100/13*100</f>
        <v>216.1902934970266</v>
      </c>
      <c r="I156" s="86">
        <f>I136/40.1*100/13*100</f>
        <v>235.56493381929789</v>
      </c>
      <c r="J156" s="86">
        <f>J136/40.1*100/13*100</f>
        <v>221.75330903510456</v>
      </c>
      <c r="K156" s="86">
        <f>K136/40.1*100/13*100</f>
        <v>235.9485900633033</v>
      </c>
      <c r="L156" s="86"/>
      <c r="M156" s="86"/>
      <c r="N156" s="86"/>
      <c r="O156" s="86"/>
      <c r="P156" s="86">
        <f>P136/40.1*100/13*100</f>
        <v>367.73450987914833</v>
      </c>
      <c r="Q156" s="86">
        <f t="shared" ref="Q156:U156" si="118">Q136/40.1*100/13*100</f>
        <v>367.73450987914833</v>
      </c>
      <c r="R156" s="86">
        <f>R136/40.1*100/13*100</f>
        <v>388.45194705543832</v>
      </c>
      <c r="S156" s="86">
        <f t="shared" si="118"/>
        <v>388.45194705543832</v>
      </c>
      <c r="T156" s="86">
        <f t="shared" si="118"/>
        <v>411.66314981776333</v>
      </c>
      <c r="U156" s="86">
        <f t="shared" si="118"/>
        <v>411.66314981776333</v>
      </c>
    </row>
    <row r="157" spans="2:38" ht="18.75" hidden="1" x14ac:dyDescent="0.2">
      <c r="B157" s="48"/>
      <c r="C157" s="87" t="s">
        <v>186</v>
      </c>
      <c r="D157" s="85"/>
      <c r="E157" s="88">
        <f>E136/13*100/10*100</f>
        <v>768.46153846153857</v>
      </c>
      <c r="F157" s="88">
        <f t="shared" ref="F157" si="119">F136/13*100/10*100</f>
        <v>780.21753846153842</v>
      </c>
      <c r="G157" s="88">
        <f t="shared" ref="G157:P157" si="120">G136/13*100/10*100</f>
        <v>843.38461538461547</v>
      </c>
      <c r="H157" s="88">
        <f t="shared" si="120"/>
        <v>866.92307692307691</v>
      </c>
      <c r="I157" s="88">
        <f t="shared" si="120"/>
        <v>944.61538461538441</v>
      </c>
      <c r="J157" s="88">
        <f t="shared" si="120"/>
        <v>889.23076923076928</v>
      </c>
      <c r="K157" s="88">
        <f t="shared" si="120"/>
        <v>946.1538461538463</v>
      </c>
      <c r="L157" s="88"/>
      <c r="M157" s="88"/>
      <c r="N157" s="88"/>
      <c r="O157" s="88"/>
      <c r="P157" s="88">
        <f t="shared" si="120"/>
        <v>1474.6153846153845</v>
      </c>
      <c r="Q157" s="88">
        <f t="shared" ref="Q157:U157" si="121">Q136/13*100/10*100</f>
        <v>1474.6153846153845</v>
      </c>
      <c r="R157" s="88">
        <f t="shared" si="121"/>
        <v>1557.6923076923076</v>
      </c>
      <c r="S157" s="88">
        <f t="shared" si="121"/>
        <v>1557.6923076923076</v>
      </c>
      <c r="T157" s="88">
        <f t="shared" si="121"/>
        <v>1650.7692307692305</v>
      </c>
      <c r="U157" s="88">
        <f t="shared" si="121"/>
        <v>1650.7692307692305</v>
      </c>
      <c r="V157" s="15">
        <f t="shared" ref="V157:AK157" si="122">V136/13*100/10*100*1.302</f>
        <v>1101.6923076923078</v>
      </c>
      <c r="W157" s="15">
        <f t="shared" si="122"/>
        <v>1101.6923076923078</v>
      </c>
      <c r="X157" s="15">
        <f t="shared" si="122"/>
        <v>1101.6923076923078</v>
      </c>
      <c r="Y157" s="15">
        <f t="shared" si="122"/>
        <v>1101.6923076923078</v>
      </c>
      <c r="Z157" s="15">
        <f t="shared" si="122"/>
        <v>1101.6923076923078</v>
      </c>
      <c r="AA157" s="15">
        <f t="shared" si="122"/>
        <v>1101.6923076923078</v>
      </c>
      <c r="AB157" s="15">
        <f t="shared" si="122"/>
        <v>1101.6923076923078</v>
      </c>
      <c r="AC157" s="15">
        <f t="shared" si="122"/>
        <v>1101.6923076923078</v>
      </c>
      <c r="AD157" s="15">
        <f t="shared" si="122"/>
        <v>1101.6923076923078</v>
      </c>
      <c r="AE157" s="15">
        <f t="shared" si="122"/>
        <v>1101.6923076923078</v>
      </c>
      <c r="AF157" s="15">
        <f t="shared" si="122"/>
        <v>1101.6923076923078</v>
      </c>
      <c r="AG157" s="15">
        <f t="shared" si="122"/>
        <v>1101.6923076923078</v>
      </c>
      <c r="AH157" s="15">
        <f t="shared" si="122"/>
        <v>1101.6923076923078</v>
      </c>
      <c r="AI157" s="15">
        <f t="shared" si="122"/>
        <v>1101.6923076923078</v>
      </c>
      <c r="AJ157" s="15">
        <f t="shared" si="122"/>
        <v>1101.6923076923078</v>
      </c>
      <c r="AK157" s="15">
        <f t="shared" si="122"/>
        <v>1101.6923076923078</v>
      </c>
      <c r="AL157" s="15"/>
    </row>
    <row r="158" spans="2:38" ht="37.5" hidden="1" x14ac:dyDescent="0.35">
      <c r="B158" s="48"/>
      <c r="C158" s="84" t="s">
        <v>179</v>
      </c>
      <c r="D158" s="85" t="s">
        <v>25</v>
      </c>
      <c r="E158" s="86">
        <f>1124.73*0.1</f>
        <v>112.47300000000001</v>
      </c>
      <c r="F158" s="89">
        <f t="shared" ref="F158:I158" si="123">E158*F104/100</f>
        <v>115.28482500000001</v>
      </c>
      <c r="G158" s="89">
        <f t="shared" si="123"/>
        <v>120.242072475</v>
      </c>
      <c r="H158" s="89">
        <f t="shared" si="123"/>
        <v>123.84933464925</v>
      </c>
      <c r="I158" s="89">
        <f t="shared" si="123"/>
        <v>129.91795204706324</v>
      </c>
      <c r="J158" s="89">
        <f>I158*J104/100</f>
        <v>140.83106001901655</v>
      </c>
      <c r="K158" s="89">
        <f>J158*K104/100</f>
        <v>157.58995616127953</v>
      </c>
      <c r="L158" s="89"/>
      <c r="M158" s="89"/>
      <c r="N158" s="89"/>
      <c r="O158" s="89"/>
      <c r="P158" s="89">
        <f>K158*P104/100</f>
        <v>163.8935544077307</v>
      </c>
      <c r="Q158" s="89">
        <f>K158*Q104/100</f>
        <v>163.8935544077307</v>
      </c>
      <c r="R158" s="89">
        <f>P158*R104/100</f>
        <v>170.44929658403996</v>
      </c>
      <c r="S158" s="89">
        <f>Q158*S104/100</f>
        <v>170.44929658403996</v>
      </c>
      <c r="T158" s="89">
        <f t="shared" ref="T158" si="124">R158*T104/100</f>
        <v>177.26726844740153</v>
      </c>
      <c r="U158" s="89">
        <f>S158*U104/100</f>
        <v>177.26726844740153</v>
      </c>
    </row>
    <row r="159" spans="2:38" hidden="1" x14ac:dyDescent="0.35">
      <c r="B159" s="48"/>
      <c r="C159" s="84" t="s">
        <v>180</v>
      </c>
      <c r="D159" s="85" t="s">
        <v>25</v>
      </c>
      <c r="E159" s="86"/>
      <c r="F159" s="89">
        <v>0.59799999999999998</v>
      </c>
      <c r="G159" s="89">
        <v>0.59799999999999998</v>
      </c>
      <c r="H159" s="89">
        <v>0.6</v>
      </c>
      <c r="I159" s="89">
        <v>0.6</v>
      </c>
      <c r="J159" s="89">
        <v>0.6</v>
      </c>
      <c r="K159" s="89">
        <v>0.6</v>
      </c>
      <c r="L159" s="89"/>
      <c r="M159" s="89"/>
      <c r="N159" s="89"/>
      <c r="O159" s="89"/>
      <c r="P159" s="51">
        <v>0.6</v>
      </c>
      <c r="Q159" s="51">
        <v>0.6</v>
      </c>
      <c r="R159" s="51">
        <v>0.6</v>
      </c>
      <c r="S159" s="51">
        <v>0.6</v>
      </c>
      <c r="T159" s="51">
        <v>0.6</v>
      </c>
      <c r="U159" s="51">
        <v>0.6</v>
      </c>
    </row>
    <row r="160" spans="2:38" hidden="1" x14ac:dyDescent="0.35">
      <c r="B160" s="48"/>
      <c r="C160" s="84" t="s">
        <v>181</v>
      </c>
      <c r="D160" s="85" t="s">
        <v>25</v>
      </c>
      <c r="E160" s="89">
        <v>192.87056000000001</v>
      </c>
      <c r="F160" s="89">
        <v>217.65880000000004</v>
      </c>
      <c r="G160" s="89">
        <v>237.03400000000002</v>
      </c>
      <c r="H160" s="89">
        <f>G160*101%</f>
        <v>239.40434000000002</v>
      </c>
      <c r="I160" s="89">
        <f>H160*101%</f>
        <v>241.79838340000003</v>
      </c>
      <c r="J160" s="89">
        <f t="shared" ref="J160:U160" si="125">J162+J163</f>
        <v>228.63857690937198</v>
      </c>
      <c r="K160" s="89">
        <f t="shared" si="125"/>
        <v>239.94473421665316</v>
      </c>
      <c r="L160" s="89"/>
      <c r="M160" s="89"/>
      <c r="N160" s="89"/>
      <c r="O160" s="89"/>
      <c r="P160" s="89">
        <f t="shared" si="125"/>
        <v>247.34307624315278</v>
      </c>
      <c r="Q160" s="89">
        <f t="shared" si="125"/>
        <v>247.54307624315277</v>
      </c>
      <c r="R160" s="89">
        <f t="shared" si="125"/>
        <v>259.50223005531041</v>
      </c>
      <c r="S160" s="89">
        <f t="shared" si="125"/>
        <v>268.98195310503655</v>
      </c>
      <c r="T160" s="89">
        <f t="shared" si="125"/>
        <v>272.26102155807598</v>
      </c>
      <c r="U160" s="89">
        <f t="shared" si="125"/>
        <v>292.30832888448981</v>
      </c>
    </row>
    <row r="161" spans="2:50" ht="2.25" hidden="1" customHeight="1" x14ac:dyDescent="0.35">
      <c r="B161" s="48"/>
      <c r="C161" s="84" t="s">
        <v>176</v>
      </c>
      <c r="D161" s="85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</row>
    <row r="162" spans="2:50" hidden="1" x14ac:dyDescent="0.35">
      <c r="B162" s="48"/>
      <c r="C162" s="84" t="s">
        <v>182</v>
      </c>
      <c r="D162" s="85" t="s">
        <v>25</v>
      </c>
      <c r="E162" s="89">
        <v>1917.7755999999999</v>
      </c>
      <c r="F162" s="89">
        <v>2162.9780000000001</v>
      </c>
      <c r="G162" s="89">
        <v>2356.0500000000002</v>
      </c>
      <c r="H162" s="89">
        <f>2158.2/11100*H13</f>
        <v>202.44304864864864</v>
      </c>
      <c r="I162" s="89">
        <f>2352.41/11504*I13</f>
        <v>210.21188108484003</v>
      </c>
      <c r="J162" s="89">
        <f>2733.73656/13583*J13</f>
        <v>213.53857690937198</v>
      </c>
      <c r="K162" s="89">
        <f>J162*103%</f>
        <v>219.94473421665316</v>
      </c>
      <c r="L162" s="89"/>
      <c r="M162" s="89"/>
      <c r="N162" s="89"/>
      <c r="O162" s="89"/>
      <c r="P162" s="51">
        <f>K162*103%</f>
        <v>226.54307624315277</v>
      </c>
      <c r="Q162" s="51">
        <f>K162*103%</f>
        <v>226.54307624315277</v>
      </c>
      <c r="R162" s="51">
        <f>P162*105%</f>
        <v>237.87023005531043</v>
      </c>
      <c r="S162" s="51">
        <f t="shared" ref="S162" si="126">Q162*109%</f>
        <v>246.93195310503654</v>
      </c>
      <c r="T162" s="51">
        <f>R162*105%</f>
        <v>249.76374155807596</v>
      </c>
      <c r="U162" s="51">
        <f>S162*109%</f>
        <v>269.15582888448984</v>
      </c>
    </row>
    <row r="163" spans="2:50" hidden="1" x14ac:dyDescent="0.35">
      <c r="B163" s="48"/>
      <c r="C163" s="84" t="s">
        <v>183</v>
      </c>
      <c r="D163" s="85" t="s">
        <v>25</v>
      </c>
      <c r="E163" s="86">
        <v>10.93</v>
      </c>
      <c r="F163" s="89">
        <v>13.61</v>
      </c>
      <c r="G163" s="89">
        <v>14.290000000000001</v>
      </c>
      <c r="H163" s="89">
        <v>14.290000000000001</v>
      </c>
      <c r="I163" s="89">
        <v>14.4</v>
      </c>
      <c r="J163" s="89">
        <v>15.1</v>
      </c>
      <c r="K163" s="89">
        <v>20</v>
      </c>
      <c r="L163" s="89"/>
      <c r="M163" s="89"/>
      <c r="N163" s="89"/>
      <c r="O163" s="89"/>
      <c r="P163" s="51">
        <f>K163*104%</f>
        <v>20.8</v>
      </c>
      <c r="Q163" s="51">
        <f>K163*105%</f>
        <v>21</v>
      </c>
      <c r="R163" s="51">
        <f>P163*104%</f>
        <v>21.632000000000001</v>
      </c>
      <c r="S163" s="51">
        <f>Q163*105%</f>
        <v>22.05</v>
      </c>
      <c r="T163" s="51">
        <f>R163*104%</f>
        <v>22.497280000000003</v>
      </c>
      <c r="U163" s="51">
        <f>S163*105%</f>
        <v>23.152500000000003</v>
      </c>
    </row>
    <row r="164" spans="2:50" hidden="1" x14ac:dyDescent="0.35">
      <c r="B164" s="48"/>
      <c r="C164" s="84" t="s">
        <v>184</v>
      </c>
      <c r="D164" s="85" t="s">
        <v>25</v>
      </c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</row>
    <row r="165" spans="2:50" ht="56.25" hidden="1" x14ac:dyDescent="0.35">
      <c r="B165" s="48" t="e">
        <f>#REF!+1</f>
        <v>#REF!</v>
      </c>
      <c r="C165" s="57" t="s">
        <v>127</v>
      </c>
      <c r="D165" s="50" t="s">
        <v>96</v>
      </c>
      <c r="E165" s="8">
        <v>9247</v>
      </c>
      <c r="F165" s="8">
        <v>9563</v>
      </c>
      <c r="G165" s="8">
        <v>10395</v>
      </c>
      <c r="H165" s="8">
        <v>11377</v>
      </c>
      <c r="I165" s="8">
        <v>12283</v>
      </c>
      <c r="J165" s="8">
        <v>12810</v>
      </c>
      <c r="K165" s="8">
        <v>15172</v>
      </c>
      <c r="L165" s="8">
        <v>15669</v>
      </c>
      <c r="M165" s="8"/>
      <c r="N165" s="8"/>
      <c r="O165" s="8"/>
      <c r="P165" s="127">
        <v>16127</v>
      </c>
      <c r="Q165" s="127">
        <v>16127</v>
      </c>
      <c r="R165" s="127">
        <v>17770</v>
      </c>
      <c r="S165" s="127">
        <v>17910</v>
      </c>
      <c r="T165" s="127">
        <v>19734</v>
      </c>
      <c r="U165" s="127">
        <v>19880</v>
      </c>
    </row>
    <row r="166" spans="2:50" hidden="1" x14ac:dyDescent="0.35">
      <c r="B166" s="48" t="e">
        <f t="shared" si="61"/>
        <v>#REF!</v>
      </c>
      <c r="C166" s="52" t="s">
        <v>124</v>
      </c>
      <c r="D166" s="50" t="s">
        <v>96</v>
      </c>
      <c r="E166" s="8">
        <v>9627</v>
      </c>
      <c r="F166" s="8">
        <v>9942</v>
      </c>
      <c r="G166" s="8">
        <v>10815</v>
      </c>
      <c r="H166" s="8">
        <v>11715</v>
      </c>
      <c r="I166" s="8">
        <v>12749</v>
      </c>
      <c r="J166" s="8">
        <v>13298</v>
      </c>
      <c r="K166" s="8">
        <v>16537</v>
      </c>
      <c r="L166" s="8">
        <v>17079</v>
      </c>
      <c r="M166" s="8"/>
      <c r="N166" s="8"/>
      <c r="O166" s="8"/>
      <c r="P166" s="127">
        <v>18123</v>
      </c>
      <c r="Q166" s="127">
        <v>18123</v>
      </c>
      <c r="R166" s="127">
        <v>19369</v>
      </c>
      <c r="S166" s="127">
        <v>19522</v>
      </c>
      <c r="T166" s="127">
        <v>21510</v>
      </c>
      <c r="U166" s="127">
        <v>21669</v>
      </c>
    </row>
    <row r="167" spans="2:50" hidden="1" x14ac:dyDescent="0.35">
      <c r="B167" s="48" t="e">
        <f t="shared" si="61"/>
        <v>#REF!</v>
      </c>
      <c r="C167" s="52" t="s">
        <v>125</v>
      </c>
      <c r="D167" s="50" t="s">
        <v>96</v>
      </c>
      <c r="E167" s="8">
        <v>7332</v>
      </c>
      <c r="F167" s="8">
        <v>7574</v>
      </c>
      <c r="G167" s="8">
        <v>8263</v>
      </c>
      <c r="H167" s="8">
        <v>9012</v>
      </c>
      <c r="I167" s="8">
        <v>9675</v>
      </c>
      <c r="J167" s="8">
        <v>10372</v>
      </c>
      <c r="K167" s="8">
        <v>13048</v>
      </c>
      <c r="L167" s="8">
        <v>13475</v>
      </c>
      <c r="M167" s="8"/>
      <c r="N167" s="8"/>
      <c r="O167" s="8"/>
      <c r="P167" s="127">
        <v>14299</v>
      </c>
      <c r="Q167" s="127">
        <v>14299</v>
      </c>
      <c r="R167" s="127">
        <v>15282</v>
      </c>
      <c r="S167" s="127">
        <v>15403</v>
      </c>
      <c r="T167" s="127">
        <v>16971</v>
      </c>
      <c r="U167" s="127">
        <v>17097</v>
      </c>
    </row>
    <row r="168" spans="2:50" hidden="1" x14ac:dyDescent="0.35">
      <c r="B168" s="48" t="e">
        <f t="shared" si="61"/>
        <v>#REF!</v>
      </c>
      <c r="C168" s="52" t="s">
        <v>126</v>
      </c>
      <c r="D168" s="50" t="s">
        <v>96</v>
      </c>
      <c r="E168" s="8">
        <v>9605</v>
      </c>
      <c r="F168" s="8">
        <v>9977</v>
      </c>
      <c r="G168" s="8">
        <v>10799</v>
      </c>
      <c r="H168" s="8">
        <v>11868</v>
      </c>
      <c r="I168" s="8">
        <v>12917</v>
      </c>
      <c r="J168" s="8">
        <v>13441</v>
      </c>
      <c r="K168" s="8">
        <v>15495</v>
      </c>
      <c r="L168" s="8">
        <v>16006</v>
      </c>
      <c r="M168" s="8"/>
      <c r="N168" s="8"/>
      <c r="O168" s="8"/>
      <c r="P168" s="127">
        <v>16854</v>
      </c>
      <c r="Q168" s="127">
        <v>16854</v>
      </c>
      <c r="R168" s="127">
        <v>17738</v>
      </c>
      <c r="S168" s="127">
        <v>17373</v>
      </c>
      <c r="T168" s="127">
        <v>19142</v>
      </c>
      <c r="U168" s="127">
        <v>19284</v>
      </c>
    </row>
    <row r="169" spans="2:50" s="43" customFormat="1" x14ac:dyDescent="0.35">
      <c r="B169" s="48">
        <v>9</v>
      </c>
      <c r="C169" s="103" t="s">
        <v>109</v>
      </c>
      <c r="D169" s="114"/>
      <c r="E169" s="114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8"/>
      <c r="Q169" s="108"/>
      <c r="R169" s="108"/>
      <c r="S169" s="108"/>
      <c r="T169" s="108"/>
      <c r="U169" s="108"/>
      <c r="V169" s="44"/>
    </row>
    <row r="170" spans="2:50" x14ac:dyDescent="0.35">
      <c r="B170" s="48">
        <v>79</v>
      </c>
      <c r="C170" s="52" t="s">
        <v>97</v>
      </c>
      <c r="D170" s="50" t="s">
        <v>18</v>
      </c>
      <c r="E170" s="8">
        <f t="shared" ref="E170:T170" si="127">E171+E177</f>
        <v>2.4409999999999998</v>
      </c>
      <c r="F170" s="8">
        <f t="shared" si="127"/>
        <v>2.4360000000000004</v>
      </c>
      <c r="G170" s="8">
        <f t="shared" si="127"/>
        <v>2.4510000000000001</v>
      </c>
      <c r="H170" s="8">
        <f t="shared" si="127"/>
        <v>2.46</v>
      </c>
      <c r="I170" s="8">
        <f t="shared" si="127"/>
        <v>2.5599999999999996</v>
      </c>
      <c r="J170" s="8">
        <f t="shared" si="127"/>
        <v>2.5</v>
      </c>
      <c r="K170" s="8">
        <f t="shared" si="127"/>
        <v>2.9000000000000004</v>
      </c>
      <c r="L170" s="8">
        <f>L171+L177</f>
        <v>2.9000000000000004</v>
      </c>
      <c r="M170" s="136">
        <f>M171+M177</f>
        <v>2.2450000000000001</v>
      </c>
      <c r="N170" s="8"/>
      <c r="O170" s="136">
        <f>O171+O177</f>
        <v>2.2530000000000001</v>
      </c>
      <c r="P170" s="8">
        <f>P171+P177</f>
        <v>2.258</v>
      </c>
      <c r="Q170" s="8">
        <f t="shared" si="127"/>
        <v>2.31</v>
      </c>
      <c r="R170" s="8">
        <f t="shared" si="127"/>
        <v>2.2680000000000002</v>
      </c>
      <c r="S170" s="8">
        <f t="shared" si="127"/>
        <v>2.3200000000000003</v>
      </c>
      <c r="T170" s="8">
        <f t="shared" si="127"/>
        <v>2.2780000000000005</v>
      </c>
      <c r="U170" s="8">
        <f>U171+U177</f>
        <v>2.3200000000000003</v>
      </c>
      <c r="V170" s="17"/>
      <c r="AX170" s="49"/>
    </row>
    <row r="171" spans="2:50" x14ac:dyDescent="0.35">
      <c r="B171" s="48">
        <f t="shared" si="61"/>
        <v>80</v>
      </c>
      <c r="C171" s="52" t="s">
        <v>98</v>
      </c>
      <c r="D171" s="50" t="s">
        <v>55</v>
      </c>
      <c r="E171" s="8">
        <v>2.2309999999999999</v>
      </c>
      <c r="F171" s="8">
        <v>2.2360000000000002</v>
      </c>
      <c r="G171" s="8">
        <v>2.2509999999999999</v>
      </c>
      <c r="H171" s="8">
        <v>2.2599999999999998</v>
      </c>
      <c r="I171" s="8">
        <v>2.2599999999999998</v>
      </c>
      <c r="J171" s="8">
        <v>2.25</v>
      </c>
      <c r="K171" s="8">
        <v>2.7</v>
      </c>
      <c r="L171" s="8">
        <v>2.7</v>
      </c>
      <c r="M171" s="136">
        <v>2.0449999999999999</v>
      </c>
      <c r="N171" s="8"/>
      <c r="O171" s="136">
        <v>2.0529999999999999</v>
      </c>
      <c r="P171" s="137">
        <f>P175+0.5</f>
        <v>2.0579999999999998</v>
      </c>
      <c r="Q171" s="138">
        <f>Q175+0.55</f>
        <v>2.12</v>
      </c>
      <c r="R171" s="137">
        <f>R175+0.5</f>
        <v>2.0680000000000001</v>
      </c>
      <c r="S171" s="138">
        <f>S175+0.55</f>
        <v>2.14</v>
      </c>
      <c r="T171" s="137">
        <f>T175+0.5</f>
        <v>2.0780000000000003</v>
      </c>
      <c r="U171" s="138">
        <f>U175+0.55</f>
        <v>2.1500000000000004</v>
      </c>
      <c r="AM171" s="7"/>
      <c r="AX171" s="49"/>
    </row>
    <row r="172" spans="2:50" ht="75" x14ac:dyDescent="0.35">
      <c r="B172" s="121">
        <f t="shared" si="61"/>
        <v>81</v>
      </c>
      <c r="C172" s="57" t="s">
        <v>46</v>
      </c>
      <c r="D172" s="50" t="s">
        <v>50</v>
      </c>
      <c r="E172" s="8">
        <f t="shared" ref="E172:K172" si="128">E179/E175/12*1000</f>
        <v>25211.992731677772</v>
      </c>
      <c r="F172" s="8">
        <f t="shared" si="128"/>
        <v>25597.68826973551</v>
      </c>
      <c r="G172" s="8">
        <f t="shared" si="128"/>
        <v>27670.09892994145</v>
      </c>
      <c r="H172" s="8">
        <f t="shared" si="128"/>
        <v>28442.358166767615</v>
      </c>
      <c r="I172" s="8">
        <f t="shared" si="128"/>
        <v>30991.318392893194</v>
      </c>
      <c r="J172" s="8">
        <f t="shared" si="128"/>
        <v>29641.025641025644</v>
      </c>
      <c r="K172" s="8">
        <f t="shared" si="128"/>
        <v>34957.291666666672</v>
      </c>
      <c r="L172" s="8">
        <f>L179/L175/12*1000</f>
        <v>39835.854479166672</v>
      </c>
      <c r="M172" s="8">
        <v>62616.6</v>
      </c>
      <c r="N172" s="8"/>
      <c r="O172" s="8">
        <f>M172*107%</f>
        <v>66999.762000000002</v>
      </c>
      <c r="P172" s="8">
        <f>O172*107%</f>
        <v>71689.745340000009</v>
      </c>
      <c r="Q172" s="8">
        <f>O172*109%</f>
        <v>73029.740580000012</v>
      </c>
      <c r="R172" s="8">
        <f>P172*107%</f>
        <v>76708.027513800014</v>
      </c>
      <c r="S172" s="8">
        <f>Q172*109%</f>
        <v>79602.417232200023</v>
      </c>
      <c r="T172" s="8">
        <f>R172*107%</f>
        <v>82077.589439766016</v>
      </c>
      <c r="U172" s="8">
        <f>S172*107%</f>
        <v>85174.586438454033</v>
      </c>
      <c r="AL172" s="133"/>
    </row>
    <row r="173" spans="2:50" ht="75" x14ac:dyDescent="0.35">
      <c r="B173" s="121">
        <f t="shared" si="61"/>
        <v>82</v>
      </c>
      <c r="C173" s="57" t="s">
        <v>46</v>
      </c>
      <c r="D173" s="58" t="s">
        <v>33</v>
      </c>
      <c r="E173" s="8">
        <v>92.3</v>
      </c>
      <c r="F173" s="8">
        <f t="shared" ref="F173" si="129">F172/E172*100</f>
        <v>101.52980980980979</v>
      </c>
      <c r="G173" s="8">
        <f t="shared" ref="G173:J173" si="130">G172/F172*100</f>
        <v>108.09608523382236</v>
      </c>
      <c r="H173" s="8">
        <f t="shared" si="130"/>
        <v>102.79095220722363</v>
      </c>
      <c r="I173" s="8">
        <f t="shared" si="130"/>
        <v>108.96184560780833</v>
      </c>
      <c r="J173" s="8">
        <f t="shared" si="130"/>
        <v>95.642996742671031</v>
      </c>
      <c r="K173" s="8">
        <f>K172/J172*100</f>
        <v>117.93549956747404</v>
      </c>
      <c r="L173" s="8">
        <f>L172/K172*100</f>
        <v>113.95578026758844</v>
      </c>
      <c r="M173" s="8">
        <f>M172/L172*100</f>
        <v>157.18653664815244</v>
      </c>
      <c r="N173" s="8"/>
      <c r="O173" s="8">
        <f>O172/M172*100</f>
        <v>107</v>
      </c>
      <c r="P173" s="8">
        <f>P172/O172*100</f>
        <v>107</v>
      </c>
      <c r="Q173" s="8">
        <f>Q172/O172*100</f>
        <v>109.00000000000001</v>
      </c>
      <c r="R173" s="8">
        <f>R172/P172*100</f>
        <v>107</v>
      </c>
      <c r="S173" s="8">
        <f>S172/Q172*100</f>
        <v>109.00000000000001</v>
      </c>
      <c r="T173" s="8">
        <f>T172/R172*100</f>
        <v>107</v>
      </c>
      <c r="U173" s="8">
        <f>U172/S172*100</f>
        <v>107</v>
      </c>
    </row>
    <row r="174" spans="2:50" x14ac:dyDescent="0.35">
      <c r="B174" s="121">
        <f t="shared" si="61"/>
        <v>83</v>
      </c>
      <c r="C174" s="52" t="s">
        <v>99</v>
      </c>
      <c r="D174" s="58" t="s">
        <v>56</v>
      </c>
      <c r="E174" s="8">
        <v>87.6</v>
      </c>
      <c r="F174" s="8">
        <f t="shared" ref="F174:K174" si="131">(F172/E172*100)/F104*100</f>
        <v>99.053472985180278</v>
      </c>
      <c r="G174" s="8">
        <f t="shared" si="131"/>
        <v>103.63958315802719</v>
      </c>
      <c r="H174" s="8">
        <f t="shared" si="131"/>
        <v>99.797040977887022</v>
      </c>
      <c r="I174" s="8">
        <f t="shared" si="131"/>
        <v>103.87211211421194</v>
      </c>
      <c r="J174" s="8">
        <f t="shared" si="131"/>
        <v>88.231546810582131</v>
      </c>
      <c r="K174" s="8">
        <f t="shared" si="131"/>
        <v>105.393654662622</v>
      </c>
      <c r="L174" s="8">
        <f t="shared" ref="L174:U174" si="132">L173/L105*100</f>
        <v>107.60696909120722</v>
      </c>
      <c r="M174" s="8">
        <f>M173/M105*100</f>
        <v>144.87238400751377</v>
      </c>
      <c r="N174" s="8"/>
      <c r="O174" s="8">
        <f>O173/O105*100</f>
        <v>97.895699908508689</v>
      </c>
      <c r="P174" s="8">
        <f>P173/P105*100</f>
        <v>101.51802656546489</v>
      </c>
      <c r="Q174" s="8">
        <f t="shared" si="132"/>
        <v>103.41555977229602</v>
      </c>
      <c r="R174" s="8">
        <f t="shared" si="132"/>
        <v>102.88461538461537</v>
      </c>
      <c r="S174" s="8">
        <f t="shared" si="132"/>
        <v>104.80769230769231</v>
      </c>
      <c r="T174" s="8">
        <f t="shared" si="132"/>
        <v>102.88461538461537</v>
      </c>
      <c r="U174" s="8">
        <f t="shared" si="132"/>
        <v>102.88461538461537</v>
      </c>
    </row>
    <row r="175" spans="2:50" ht="38.25" x14ac:dyDescent="0.35">
      <c r="B175" s="121">
        <f t="shared" si="61"/>
        <v>84</v>
      </c>
      <c r="C175" s="52" t="s">
        <v>175</v>
      </c>
      <c r="D175" s="58" t="s">
        <v>18</v>
      </c>
      <c r="E175" s="8">
        <v>2.54</v>
      </c>
      <c r="F175" s="8">
        <v>2.54</v>
      </c>
      <c r="G175" s="8">
        <v>2.54</v>
      </c>
      <c r="H175" s="8">
        <v>2.54</v>
      </c>
      <c r="I175" s="8">
        <v>2.54</v>
      </c>
      <c r="J175" s="8">
        <v>2.5</v>
      </c>
      <c r="K175" s="41">
        <v>2.4</v>
      </c>
      <c r="L175" s="41">
        <v>2.4</v>
      </c>
      <c r="M175" s="139">
        <v>1.5449999999999999</v>
      </c>
      <c r="N175" s="41"/>
      <c r="O175" s="139">
        <v>1.5529999999999999</v>
      </c>
      <c r="P175" s="136">
        <v>1.5580000000000001</v>
      </c>
      <c r="Q175" s="136">
        <v>1.57</v>
      </c>
      <c r="R175" s="136">
        <v>1.5680000000000001</v>
      </c>
      <c r="S175" s="136">
        <v>1.59</v>
      </c>
      <c r="T175" s="136">
        <v>1.5780000000000001</v>
      </c>
      <c r="U175" s="136">
        <v>1.6</v>
      </c>
    </row>
    <row r="176" spans="2:50" ht="37.5" x14ac:dyDescent="0.35">
      <c r="B176" s="121">
        <f t="shared" si="61"/>
        <v>85</v>
      </c>
      <c r="C176" s="57" t="s">
        <v>26</v>
      </c>
      <c r="D176" s="58" t="s">
        <v>14</v>
      </c>
      <c r="E176" s="8">
        <f t="shared" ref="E176:J176" si="133">E178/E170*100</f>
        <v>1.7206063088897994</v>
      </c>
      <c r="F176" s="8">
        <f t="shared" si="133"/>
        <v>1.6420361247947453</v>
      </c>
      <c r="G176" s="8">
        <f t="shared" si="133"/>
        <v>1.6319869441044472</v>
      </c>
      <c r="H176" s="8">
        <f t="shared" si="133"/>
        <v>1.6260162601626018</v>
      </c>
      <c r="I176" s="8">
        <f t="shared" si="133"/>
        <v>7.6562500000000018</v>
      </c>
      <c r="J176" s="8">
        <f t="shared" si="133"/>
        <v>6.32</v>
      </c>
      <c r="K176" s="8">
        <f>K178/K170*100</f>
        <v>0.79310344827586199</v>
      </c>
      <c r="L176" s="8">
        <f>L178/L170*100</f>
        <v>0.17241379310344826</v>
      </c>
      <c r="M176" s="8">
        <f>M178/M170*100</f>
        <v>0.22271714922048996</v>
      </c>
      <c r="N176" s="8"/>
      <c r="O176" s="8">
        <f>O178/O170*100</f>
        <v>0.35508211273857077</v>
      </c>
      <c r="P176" s="8">
        <f t="shared" ref="P176:U176" si="134">P178/P170*100</f>
        <v>0.44286979627989376</v>
      </c>
      <c r="Q176" s="8">
        <f t="shared" si="134"/>
        <v>0.4329004329004329</v>
      </c>
      <c r="R176" s="8">
        <f t="shared" si="134"/>
        <v>0.44091710758377423</v>
      </c>
      <c r="S176" s="8">
        <f t="shared" si="134"/>
        <v>0.43103448275862066</v>
      </c>
      <c r="T176" s="8">
        <f t="shared" si="134"/>
        <v>0.4389815627743634</v>
      </c>
      <c r="U176" s="8">
        <f t="shared" si="134"/>
        <v>0.43103448275862066</v>
      </c>
    </row>
    <row r="177" spans="2:21" x14ac:dyDescent="0.35">
      <c r="B177" s="121">
        <f t="shared" si="61"/>
        <v>86</v>
      </c>
      <c r="C177" s="57" t="s">
        <v>100</v>
      </c>
      <c r="D177" s="50" t="s">
        <v>18</v>
      </c>
      <c r="E177" s="8">
        <v>0.21</v>
      </c>
      <c r="F177" s="8">
        <v>0.2</v>
      </c>
      <c r="G177" s="8">
        <v>0.2</v>
      </c>
      <c r="H177" s="8">
        <v>0.2</v>
      </c>
      <c r="I177" s="8">
        <v>0.3</v>
      </c>
      <c r="J177" s="8">
        <v>0.25</v>
      </c>
      <c r="K177" s="8">
        <v>0.2</v>
      </c>
      <c r="L177" s="8">
        <v>0.2</v>
      </c>
      <c r="M177" s="8">
        <v>0.2</v>
      </c>
      <c r="N177" s="8"/>
      <c r="O177" s="8">
        <v>0.2</v>
      </c>
      <c r="P177" s="8">
        <v>0.2</v>
      </c>
      <c r="Q177" s="8">
        <v>0.19</v>
      </c>
      <c r="R177" s="8">
        <v>0.2</v>
      </c>
      <c r="S177" s="8">
        <v>0.18</v>
      </c>
      <c r="T177" s="8">
        <v>0.2</v>
      </c>
      <c r="U177" s="8">
        <v>0.17</v>
      </c>
    </row>
    <row r="178" spans="2:21" ht="56.25" x14ac:dyDescent="0.35">
      <c r="B178" s="121">
        <f>B177+1</f>
        <v>87</v>
      </c>
      <c r="C178" s="57" t="s">
        <v>27</v>
      </c>
      <c r="D178" s="50" t="s">
        <v>18</v>
      </c>
      <c r="E178" s="54">
        <v>4.2000000000000003E-2</v>
      </c>
      <c r="F178" s="54">
        <v>0.04</v>
      </c>
      <c r="G178" s="54">
        <v>0.04</v>
      </c>
      <c r="H178" s="54">
        <v>0.04</v>
      </c>
      <c r="I178" s="54">
        <v>0.19600000000000001</v>
      </c>
      <c r="J178" s="54">
        <v>0.158</v>
      </c>
      <c r="K178" s="94">
        <v>2.3E-2</v>
      </c>
      <c r="L178" s="94">
        <v>5.0000000000000001E-3</v>
      </c>
      <c r="M178" s="94">
        <v>5.0000000000000001E-3</v>
      </c>
      <c r="N178" s="94"/>
      <c r="O178" s="94">
        <v>8.0000000000000002E-3</v>
      </c>
      <c r="P178" s="54">
        <v>0.01</v>
      </c>
      <c r="Q178" s="54">
        <v>0.01</v>
      </c>
      <c r="R178" s="54">
        <v>0.01</v>
      </c>
      <c r="S178" s="54">
        <v>0.01</v>
      </c>
      <c r="T178" s="54">
        <v>0.01</v>
      </c>
      <c r="U178" s="54">
        <v>0.01</v>
      </c>
    </row>
    <row r="179" spans="2:21" x14ac:dyDescent="0.35">
      <c r="B179" s="121">
        <f t="shared" si="61"/>
        <v>88</v>
      </c>
      <c r="C179" s="57" t="s">
        <v>101</v>
      </c>
      <c r="D179" s="50" t="s">
        <v>9</v>
      </c>
      <c r="E179" s="55">
        <f t="shared" ref="E179:J179" si="135">E136/10*100/13*100</f>
        <v>768.46153846153845</v>
      </c>
      <c r="F179" s="55">
        <f t="shared" si="135"/>
        <v>780.21753846153831</v>
      </c>
      <c r="G179" s="55">
        <f t="shared" si="135"/>
        <v>843.38461538461547</v>
      </c>
      <c r="H179" s="55">
        <f t="shared" si="135"/>
        <v>866.92307692307691</v>
      </c>
      <c r="I179" s="55">
        <f t="shared" si="135"/>
        <v>944.61538461538464</v>
      </c>
      <c r="J179" s="55">
        <f t="shared" si="135"/>
        <v>889.23076923076928</v>
      </c>
      <c r="K179" s="55">
        <v>1006.77</v>
      </c>
      <c r="L179" s="55">
        <v>1147.2726090000001</v>
      </c>
      <c r="M179" s="55">
        <v>1326.6255309999999</v>
      </c>
      <c r="N179" s="55"/>
      <c r="O179" s="55">
        <f>M179*107%</f>
        <v>1419.4893181699999</v>
      </c>
      <c r="P179" s="55">
        <f>O179*107%</f>
        <v>1518.8535704419</v>
      </c>
      <c r="Q179" s="55">
        <f>O179*110%</f>
        <v>1561.4382499870001</v>
      </c>
      <c r="R179" s="55">
        <f>P179*107%</f>
        <v>1625.1733203728331</v>
      </c>
      <c r="S179" s="55">
        <f>Q179*110%</f>
        <v>1717.5820749857003</v>
      </c>
      <c r="T179" s="55">
        <f>R179*107%</f>
        <v>1738.9354527989315</v>
      </c>
      <c r="U179" s="55">
        <f>S179*110%</f>
        <v>1889.3402824842703</v>
      </c>
    </row>
    <row r="180" spans="2:21" ht="37.5" x14ac:dyDescent="0.35">
      <c r="B180" s="121">
        <f t="shared" si="61"/>
        <v>89</v>
      </c>
      <c r="C180" s="57" t="s">
        <v>102</v>
      </c>
      <c r="D180" s="50" t="s">
        <v>56</v>
      </c>
      <c r="E180" s="56">
        <v>24.85</v>
      </c>
      <c r="F180" s="56">
        <f t="shared" ref="F180:G180" si="136">F179/E179*100</f>
        <v>101.52980980980979</v>
      </c>
      <c r="G180" s="56">
        <f t="shared" si="136"/>
        <v>108.09608523382239</v>
      </c>
      <c r="H180" s="56">
        <f t="shared" ref="H180:K180" si="137">H179/G179*100</f>
        <v>102.79095220722363</v>
      </c>
      <c r="I180" s="56">
        <f t="shared" si="137"/>
        <v>108.96184560780836</v>
      </c>
      <c r="J180" s="56">
        <f t="shared" si="137"/>
        <v>94.13680781758957</v>
      </c>
      <c r="K180" s="56">
        <f t="shared" si="137"/>
        <v>113.21807958477508</v>
      </c>
      <c r="L180" s="56">
        <f>L179/K179*100</f>
        <v>113.95578026758844</v>
      </c>
      <c r="M180" s="56">
        <f>M179/L179*100</f>
        <v>115.6329821345887</v>
      </c>
      <c r="N180" s="56"/>
      <c r="O180" s="56">
        <f>O179/M179*100</f>
        <v>107</v>
      </c>
      <c r="P180" s="56">
        <f>P179/O179*100</f>
        <v>107</v>
      </c>
      <c r="Q180" s="56">
        <f>Q179/O179*100</f>
        <v>110.00000000000001</v>
      </c>
      <c r="R180" s="56">
        <f>R179/P179*100</f>
        <v>107</v>
      </c>
      <c r="S180" s="56">
        <f>S179/Q179*100</f>
        <v>110.00000000000001</v>
      </c>
      <c r="T180" s="56">
        <f>T179/R179*100</f>
        <v>107</v>
      </c>
      <c r="U180" s="56">
        <f>U179/S179*100</f>
        <v>110.00000000000001</v>
      </c>
    </row>
    <row r="181" spans="2:21" x14ac:dyDescent="0.35">
      <c r="B181" s="5"/>
      <c r="C181" s="6"/>
      <c r="D181" s="6"/>
      <c r="E181" s="6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 spans="2:21" x14ac:dyDescent="0.35"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</row>
    <row r="183" spans="2:21" x14ac:dyDescent="0.35"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2:21" x14ac:dyDescent="0.35"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2:21" x14ac:dyDescent="0.35"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 spans="2:21" x14ac:dyDescent="0.35"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</row>
    <row r="187" spans="2:21" x14ac:dyDescent="0.35"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2:21" x14ac:dyDescent="0.35"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</row>
    <row r="189" spans="2:21" x14ac:dyDescent="0.35"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 spans="2:21" x14ac:dyDescent="0.35"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</row>
    <row r="191" spans="2:21" x14ac:dyDescent="0.35"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2:21" x14ac:dyDescent="0.35"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6:16" x14ac:dyDescent="0.35"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6:16" x14ac:dyDescent="0.35"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</row>
    <row r="195" spans="6:16" x14ac:dyDescent="0.35"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6:16" x14ac:dyDescent="0.35"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</row>
    <row r="197" spans="6:16" x14ac:dyDescent="0.35"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 spans="6:16" x14ac:dyDescent="0.35"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</row>
    <row r="199" spans="6:16" x14ac:dyDescent="0.35"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</row>
    <row r="200" spans="6:16" x14ac:dyDescent="0.35"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</row>
    <row r="201" spans="6:16" x14ac:dyDescent="0.35"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 spans="6:16" x14ac:dyDescent="0.35"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</row>
    <row r="203" spans="6:16" x14ac:dyDescent="0.35"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</row>
    <row r="204" spans="6:16" x14ac:dyDescent="0.35"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</row>
    <row r="205" spans="6:16" x14ac:dyDescent="0.35"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 spans="6:16" x14ac:dyDescent="0.35"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</row>
    <row r="207" spans="6:16" x14ac:dyDescent="0.35"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</row>
    <row r="208" spans="6:16" x14ac:dyDescent="0.35"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</row>
    <row r="209" spans="6:16" x14ac:dyDescent="0.35"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 spans="6:16" x14ac:dyDescent="0.35"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6:16" x14ac:dyDescent="0.35"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6:16" x14ac:dyDescent="0.35"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6:16" x14ac:dyDescent="0.35"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6:16" x14ac:dyDescent="0.35"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</row>
    <row r="215" spans="6:16" x14ac:dyDescent="0.35"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</row>
    <row r="216" spans="6:16" x14ac:dyDescent="0.35"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7" spans="6:16" x14ac:dyDescent="0.35"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 spans="6:16" x14ac:dyDescent="0.35"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6:16" x14ac:dyDescent="0.35"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</row>
    <row r="220" spans="6:16" x14ac:dyDescent="0.35"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1" spans="6:16" x14ac:dyDescent="0.35"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 spans="6:16" x14ac:dyDescent="0.35"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</row>
    <row r="223" spans="6:16" x14ac:dyDescent="0.35"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</row>
    <row r="224" spans="6:16" x14ac:dyDescent="0.35"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</row>
    <row r="225" spans="6:16" x14ac:dyDescent="0.35"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 spans="6:16" x14ac:dyDescent="0.35"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</row>
    <row r="227" spans="6:16" x14ac:dyDescent="0.35"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</row>
    <row r="228" spans="6:16" x14ac:dyDescent="0.35"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</row>
    <row r="229" spans="6:16" x14ac:dyDescent="0.35"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 spans="6:16" x14ac:dyDescent="0.35"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</row>
    <row r="231" spans="6:16" x14ac:dyDescent="0.35"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</row>
    <row r="232" spans="6:16" x14ac:dyDescent="0.35"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</row>
    <row r="233" spans="6:16" x14ac:dyDescent="0.35"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 spans="6:16" x14ac:dyDescent="0.35"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</row>
    <row r="235" spans="6:16" x14ac:dyDescent="0.35"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</row>
    <row r="236" spans="6:16" x14ac:dyDescent="0.35"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</row>
    <row r="237" spans="6:16" x14ac:dyDescent="0.35"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</row>
    <row r="238" spans="6:16" x14ac:dyDescent="0.35"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 spans="6:16" x14ac:dyDescent="0.35"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</row>
    <row r="240" spans="6:16" x14ac:dyDescent="0.35"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</row>
    <row r="241" spans="6:16" x14ac:dyDescent="0.35"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</row>
  </sheetData>
  <mergeCells count="21">
    <mergeCell ref="R1:U3"/>
    <mergeCell ref="H7:H9"/>
    <mergeCell ref="P7:Q7"/>
    <mergeCell ref="R7:S7"/>
    <mergeCell ref="T7:U7"/>
    <mergeCell ref="P6:U6"/>
    <mergeCell ref="B5:U5"/>
    <mergeCell ref="I7:I9"/>
    <mergeCell ref="J7:J9"/>
    <mergeCell ref="B4:U4"/>
    <mergeCell ref="B6:B9"/>
    <mergeCell ref="C6:C9"/>
    <mergeCell ref="M7:M9"/>
    <mergeCell ref="N7:N9"/>
    <mergeCell ref="D6:D9"/>
    <mergeCell ref="F7:F9"/>
    <mergeCell ref="O7:O9"/>
    <mergeCell ref="G7:G9"/>
    <mergeCell ref="E7:E9"/>
    <mergeCell ref="K7:K9"/>
    <mergeCell ref="L7:L9"/>
  </mergeCells>
  <pageMargins left="0.19685039370078741" right="0.19685039370078741" top="0.39370078740157483" bottom="0.19685039370078741" header="0" footer="0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2п new</vt:lpstr>
      <vt:lpstr>'форма 2п new'!Заголовки_для_печати</vt:lpstr>
      <vt:lpstr>'форма 2п new'!Область_печати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Priemnaya1</cp:lastModifiedBy>
  <cp:lastPrinted>2025-10-22T02:24:30Z</cp:lastPrinted>
  <dcterms:created xsi:type="dcterms:W3CDTF">2013-05-25T16:45:04Z</dcterms:created>
  <dcterms:modified xsi:type="dcterms:W3CDTF">2025-10-30T08:50:34Z</dcterms:modified>
</cp:coreProperties>
</file>